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" sheetId="5" r:id="rId5"/>
  </sheets>
  <externalReferences>
    <externalReference r:id="rId8"/>
  </externalReferences>
  <definedNames>
    <definedName name="_xlnm.Print_Area" localSheetId="1">'квітень'!$A$1:$X$109</definedName>
  </definedNames>
  <calcPr fullCalcOnLoad="1"/>
</workbook>
</file>

<file path=xl/sharedStrings.xml><?xml version="1.0" encoding="utf-8"?>
<sst xmlns="http://schemas.openxmlformats.org/spreadsheetml/2006/main" count="770" uniqueCount="182">
  <si>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</si>
  <si>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</si>
  <si>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</si>
  <si>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</si>
  <si>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</si>
  <si>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</si>
  <si>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</si>
  <si>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</si>
  <si>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</si>
  <si>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</si>
  <si>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</si>
  <si>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</si>
  <si>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</si>
  <si>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</si>
  <si>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</si>
  <si>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</si>
  <si>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</si>
  <si>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</si>
  <si>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</si>
  <si>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</si>
  <si>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</si>
  <si>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</si>
  <si>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</si>
  <si>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</si>
  <si>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</si>
  <si>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</si>
  <si>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</si>
  <si>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</si>
  <si>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</si>
  <si>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</si>
  <si>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</si>
  <si>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</si>
  <si>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</si>
  <si>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</si>
  <si>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</si>
  <si>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</si>
  <si>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</si>
  <si>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</si>
  <si>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</si>
  <si>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</si>
  <si>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</si>
  <si>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</si>
  <si>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</si>
  <si>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</si>
  <si>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</si>
  <si>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</si>
  <si>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</si>
  <si>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</si>
  <si>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</si>
  <si>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</si>
  <si>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</si>
  <si>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</si>
  <si>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</si>
  <si>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</si>
  <si>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</si>
  <si>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</si>
  <si>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</si>
  <si>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</si>
  <si>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</si>
  <si>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</si>
  <si>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</si>
  <si>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</si>
  <si>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</si>
  <si>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</si>
  <si>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</si>
  <si>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</si>
  <si>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</si>
  <si>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</si>
  <si>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</si>
  <si>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</si>
  <si>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</si>
  <si>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</si>
  <si>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</si>
  <si>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</si>
  <si>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</si>
  <si>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</si>
  <si>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</si>
  <si>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</si>
  <si>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</si>
  <si>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</si>
  <si>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</si>
  <si>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</si>
  <si>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</si>
  <si>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</si>
  <si>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</si>
  <si>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</si>
  <si>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</si>
  <si>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</si>
  <si>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</si>
  <si>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</si>
  <si>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</si>
  <si>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</si>
  <si>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</si>
  <si>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</si>
  <si>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</si>
  <si>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</si>
  <si>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</si>
  <si>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</si>
  <si>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</si>
  <si>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</si>
  <si>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</si>
  <si>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</si>
  <si>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</si>
  <si>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</si>
  <si>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</si>
  <si>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</si>
  <si>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</si>
  <si>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</si>
  <si>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</si>
  <si>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</si>
  <si>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</si>
  <si>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</si>
  <si>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</si>
  <si>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</si>
  <si>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</si>
  <si>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</si>
  <si>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</si>
  <si>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</si>
  <si>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</si>
  <si>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</si>
  <si>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</si>
  <si>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</si>
  <si>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</si>
  <si>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</si>
  <si>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</si>
  <si>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</si>
  <si>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</si>
  <si>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</si>
  <si>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</si>
  <si>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</si>
  <si>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</si>
  <si>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</si>
  <si>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</si>
  <si>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</si>
  <si>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</si>
  <si>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</si>
  <si>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</si>
  <si>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</si>
  <si>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</si>
  <si>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</si>
  <si>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</si>
  <si>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</si>
  <si>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</si>
  <si>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</si>
  <si>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</si>
  <si>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</si>
  <si>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</si>
  <si>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</si>
  <si>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</si>
  <si>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</si>
  <si>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</si>
  <si>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</si>
  <si>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</si>
  <si>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</si>
  <si>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</si>
  <si>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</si>
  <si>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</si>
  <si>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</si>
  <si>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</si>
  <si>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</si>
  <si>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</si>
  <si>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</si>
  <si>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</si>
  <si>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</si>
  <si>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</si>
  <si>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</si>
  <si>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</si>
  <si>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</si>
  <si>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</si>
  <si>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</si>
  <si>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</si>
  <si>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</si>
  <si>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02.05.2018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</si>
  <si>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</si>
  <si>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03.05.2018</t>
    </r>
    <r>
      <rPr>
        <b/>
        <sz val="16"/>
        <rFont val="Times New Roman"/>
        <family val="1"/>
      </rPr>
      <t>р.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</si>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</sst>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29375.26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9"/>
  <sheetViews>
    <sheetView tabSelected="1" zoomScale="63" zoomScaleNormal="63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23" sqref="B1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1" t="s">
        <v>174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162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178</v>
      </c>
      <c r="V3" s="312" t="s">
        <v>179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175</v>
      </c>
      <c r="G4" s="297" t="s">
        <v>31</v>
      </c>
      <c r="H4" s="285" t="s">
        <v>176</v>
      </c>
      <c r="I4" s="299" t="s">
        <v>177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180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181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600094.74</v>
      </c>
      <c r="G8" s="103">
        <f>G9+G15+G18+G19+G23+G17</f>
        <v>502480.65</v>
      </c>
      <c r="H8" s="103">
        <f>G8-F8</f>
        <v>-97614.08999999997</v>
      </c>
      <c r="I8" s="210">
        <f aca="true" t="shared" si="0" ref="I8:I15">G8/F8</f>
        <v>0.837335534719068</v>
      </c>
      <c r="J8" s="104">
        <f aca="true" t="shared" si="1" ref="J8:J52">G8-E8</f>
        <v>-1078153.15</v>
      </c>
      <c r="K8" s="156">
        <f aca="true" t="shared" si="2" ref="K8:K14">G8/E8</f>
        <v>0.31789820640302646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505095.97</v>
      </c>
      <c r="S8" s="103">
        <f aca="true" t="shared" si="5" ref="S8:S78">G8-R8</f>
        <v>-2615.319999999949</v>
      </c>
      <c r="T8" s="143">
        <f aca="true" t="shared" si="6" ref="T8:T41">G8/R8</f>
        <v>0.9948221325147378</v>
      </c>
      <c r="U8" s="103">
        <f>U9+U15+U18+U19+U23+U17</f>
        <v>125271.39999999997</v>
      </c>
      <c r="V8" s="103">
        <f>V9+V15+V18+V19+V23+V17</f>
        <v>3778.2699999999895</v>
      </c>
      <c r="W8" s="103">
        <f>V8-U8</f>
        <v>-121493.12999999998</v>
      </c>
      <c r="X8" s="143">
        <f aca="true" t="shared" si="7" ref="X8:X15">V8/U8</f>
        <v>0.03016067514213133</v>
      </c>
      <c r="Y8" s="199">
        <f aca="true" t="shared" si="8" ref="Y8:Y22">T8-Q8</f>
        <v>-0.1939942790163932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342289.04</v>
      </c>
      <c r="G9" s="106">
        <v>299901.2</v>
      </c>
      <c r="H9" s="102">
        <f>G9-F9</f>
        <v>-42387.83999999997</v>
      </c>
      <c r="I9" s="208">
        <f t="shared" si="0"/>
        <v>0.8761636072250517</v>
      </c>
      <c r="J9" s="108">
        <f t="shared" si="1"/>
        <v>-656301.8</v>
      </c>
      <c r="K9" s="148">
        <f t="shared" si="2"/>
        <v>0.3136375853244552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281631.58</v>
      </c>
      <c r="S9" s="109">
        <f t="shared" si="5"/>
        <v>18269.619999999995</v>
      </c>
      <c r="T9" s="144">
        <f t="shared" si="6"/>
        <v>1.064870637021601</v>
      </c>
      <c r="U9" s="107">
        <f>F9-квітень!F9</f>
        <v>71637.89999999997</v>
      </c>
      <c r="V9" s="110">
        <f>G9-квітень!G9</f>
        <v>1547.1300000000047</v>
      </c>
      <c r="W9" s="111">
        <f>V9-U9</f>
        <v>-70090.76999999996</v>
      </c>
      <c r="X9" s="148">
        <f t="shared" si="7"/>
        <v>0.021596529211492875</v>
      </c>
      <c r="Y9" s="200">
        <f t="shared" si="8"/>
        <v>-0.1676327548655565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315213.7</v>
      </c>
      <c r="G10" s="94">
        <v>273977.11</v>
      </c>
      <c r="H10" s="71">
        <f aca="true" t="shared" si="9" ref="H10:H47">G10-F10</f>
        <v>-41236.590000000026</v>
      </c>
      <c r="I10" s="209">
        <f t="shared" si="0"/>
        <v>0.8691789411437383</v>
      </c>
      <c r="J10" s="72">
        <f t="shared" si="1"/>
        <v>-607825.89</v>
      </c>
      <c r="K10" s="75">
        <f t="shared" si="2"/>
        <v>0.31070104093544704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257579.18</v>
      </c>
      <c r="S10" s="74">
        <f t="shared" si="5"/>
        <v>16397.929999999993</v>
      </c>
      <c r="T10" s="145">
        <f t="shared" si="6"/>
        <v>1.063661705887875</v>
      </c>
      <c r="U10" s="73">
        <f>F10-квітень!F10</f>
        <v>66100</v>
      </c>
      <c r="V10" s="98">
        <f>G10-квітень!G10</f>
        <v>1376.1599999999744</v>
      </c>
      <c r="W10" s="74">
        <f aca="true" t="shared" si="10" ref="W10:W52">V10-U10</f>
        <v>-64723.840000000026</v>
      </c>
      <c r="X10" s="75">
        <f t="shared" si="7"/>
        <v>0.020819364599091898</v>
      </c>
      <c r="Y10" s="198">
        <f t="shared" si="8"/>
        <v>-0.17848973873511587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18441.3</v>
      </c>
      <c r="G11" s="94">
        <v>16479.14</v>
      </c>
      <c r="H11" s="71">
        <f t="shared" si="9"/>
        <v>-1962.1599999999999</v>
      </c>
      <c r="I11" s="209">
        <f t="shared" si="0"/>
        <v>0.8935996919956836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659.2399999999998</v>
      </c>
      <c r="T11" s="145">
        <f t="shared" si="6"/>
        <v>1.0416715655598328</v>
      </c>
      <c r="U11" s="73">
        <f>F11-квітень!F11</f>
        <v>3906.5999999999985</v>
      </c>
      <c r="V11" s="98">
        <f>G11-квітень!G11</f>
        <v>0</v>
      </c>
      <c r="W11" s="74">
        <f t="shared" si="10"/>
        <v>-3906.5999999999985</v>
      </c>
      <c r="X11" s="75">
        <f t="shared" si="7"/>
        <v>0</v>
      </c>
      <c r="Y11" s="198">
        <f t="shared" si="8"/>
        <v>-0.13199290893366267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4096.41</v>
      </c>
      <c r="G12" s="94">
        <v>4130.07</v>
      </c>
      <c r="H12" s="71">
        <f t="shared" si="9"/>
        <v>33.659999999999854</v>
      </c>
      <c r="I12" s="209">
        <f t="shared" si="0"/>
        <v>1.0082169509399694</v>
      </c>
      <c r="J12" s="72">
        <f t="shared" si="1"/>
        <v>-7869.93</v>
      </c>
      <c r="K12" s="75">
        <f t="shared" si="2"/>
        <v>0.3441725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387.8099999999995</v>
      </c>
      <c r="T12" s="145">
        <f t="shared" si="6"/>
        <v>1.1036298920972887</v>
      </c>
      <c r="U12" s="73">
        <f>F12-квітень!F12</f>
        <v>952</v>
      </c>
      <c r="V12" s="98">
        <f>G12-квітень!G12</f>
        <v>140.5399999999995</v>
      </c>
      <c r="W12" s="74">
        <f t="shared" si="10"/>
        <v>-811.4600000000005</v>
      </c>
      <c r="X12" s="75">
        <f t="shared" si="7"/>
        <v>0.14762605042016755</v>
      </c>
      <c r="Y12" s="198">
        <f t="shared" si="8"/>
        <v>0.1029752972164708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4260</v>
      </c>
      <c r="G13" s="94">
        <v>5007.26</v>
      </c>
      <c r="H13" s="71">
        <f t="shared" si="9"/>
        <v>747.2600000000002</v>
      </c>
      <c r="I13" s="209">
        <f t="shared" si="0"/>
        <v>1.1754131455399062</v>
      </c>
      <c r="J13" s="72">
        <f t="shared" si="1"/>
        <v>-6992.74</v>
      </c>
      <c r="K13" s="75">
        <f t="shared" si="2"/>
        <v>0.4172716666666667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1124.67</v>
      </c>
      <c r="T13" s="145">
        <f t="shared" si="6"/>
        <v>1.2896700398445369</v>
      </c>
      <c r="U13" s="73">
        <f>F13-квітень!F13</f>
        <v>646.3000000000002</v>
      </c>
      <c r="V13" s="98">
        <f>G13-квітень!G13</f>
        <v>30.420000000000073</v>
      </c>
      <c r="W13" s="74">
        <f t="shared" si="10"/>
        <v>-615.8800000000001</v>
      </c>
      <c r="X13" s="75">
        <f t="shared" si="7"/>
        <v>0.047067925112177104</v>
      </c>
      <c r="Y13" s="198">
        <f t="shared" si="8"/>
        <v>0.0940710397638338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365</v>
      </c>
      <c r="G15" s="106">
        <v>337.68</v>
      </c>
      <c r="H15" s="102">
        <f t="shared" si="9"/>
        <v>-27.319999999999993</v>
      </c>
      <c r="I15" s="208">
        <f t="shared" si="0"/>
        <v>0.9251506849315069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293.12</v>
      </c>
      <c r="T15" s="146">
        <f t="shared" si="6"/>
        <v>7.578096947935368</v>
      </c>
      <c r="U15" s="107">
        <f>F15-квітень!F15</f>
        <v>300</v>
      </c>
      <c r="V15" s="110">
        <f>G15-квітень!G15</f>
        <v>0</v>
      </c>
      <c r="W15" s="111">
        <f t="shared" si="10"/>
        <v>-300</v>
      </c>
      <c r="X15" s="148">
        <f t="shared" si="7"/>
        <v>0</v>
      </c>
      <c r="Y15" s="197">
        <f t="shared" si="8"/>
        <v>6.564138114663999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56263</v>
      </c>
      <c r="G19" s="158">
        <v>37516.16</v>
      </c>
      <c r="H19" s="102">
        <f t="shared" si="9"/>
        <v>-18746.839999999997</v>
      </c>
      <c r="I19" s="208">
        <f t="shared" si="12"/>
        <v>0.6667998507011713</v>
      </c>
      <c r="J19" s="108">
        <f t="shared" si="1"/>
        <v>-114211.84</v>
      </c>
      <c r="K19" s="108">
        <f t="shared" si="11"/>
        <v>24.725930612675313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-7478.929999999993</v>
      </c>
      <c r="T19" s="146">
        <f t="shared" si="6"/>
        <v>0.8337834194797701</v>
      </c>
      <c r="U19" s="107">
        <f>F19-квітень!F19</f>
        <v>11273</v>
      </c>
      <c r="V19" s="110">
        <f>G19-квітень!G19</f>
        <v>440.9400000000023</v>
      </c>
      <c r="W19" s="111">
        <f t="shared" si="10"/>
        <v>-10832.059999999998</v>
      </c>
      <c r="X19" s="148">
        <f t="shared" si="13"/>
        <v>0.03911469883793155</v>
      </c>
      <c r="Y19" s="197">
        <f t="shared" si="8"/>
        <v>-0.41039719400702046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21963</v>
      </c>
      <c r="G20" s="141">
        <v>16800.11</v>
      </c>
      <c r="H20" s="170">
        <f t="shared" si="9"/>
        <v>-5162.889999999999</v>
      </c>
      <c r="I20" s="211">
        <f t="shared" si="12"/>
        <v>0.7649278331739744</v>
      </c>
      <c r="J20" s="171">
        <f t="shared" si="1"/>
        <v>-49907.89</v>
      </c>
      <c r="K20" s="171">
        <f t="shared" si="11"/>
        <v>25.184550578641247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-9328.380000000001</v>
      </c>
      <c r="T20" s="172">
        <f t="shared" si="6"/>
        <v>0.6429805166697348</v>
      </c>
      <c r="U20" s="136">
        <f>F20-квітень!F20</f>
        <v>4273</v>
      </c>
      <c r="V20" s="124">
        <f>G20-квітень!G20</f>
        <v>16.340000000000146</v>
      </c>
      <c r="W20" s="116">
        <f t="shared" si="10"/>
        <v>-4256.66</v>
      </c>
      <c r="X20" s="180">
        <f t="shared" si="13"/>
        <v>0.0038240112333255663</v>
      </c>
      <c r="Y20" s="197">
        <f t="shared" si="8"/>
        <v>-0.4553385322703992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6500</v>
      </c>
      <c r="G21" s="141">
        <v>4824.95</v>
      </c>
      <c r="H21" s="170">
        <f t="shared" si="9"/>
        <v>-1675.0500000000002</v>
      </c>
      <c r="I21" s="211">
        <f t="shared" si="12"/>
        <v>0.7423</v>
      </c>
      <c r="J21" s="171">
        <f t="shared" si="1"/>
        <v>-10871.05</v>
      </c>
      <c r="K21" s="171">
        <f t="shared" si="11"/>
        <v>30.73999745158002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731.2599999999998</v>
      </c>
      <c r="T21" s="172">
        <f t="shared" si="6"/>
        <v>1.1786310150499915</v>
      </c>
      <c r="U21" s="136">
        <f>F21-квітень!F21</f>
        <v>1300</v>
      </c>
      <c r="V21" s="124">
        <f>G21-квітень!G21</f>
        <v>157.0599999999995</v>
      </c>
      <c r="W21" s="116">
        <f t="shared" si="10"/>
        <v>-1142.9400000000005</v>
      </c>
      <c r="X21" s="180">
        <f t="shared" si="13"/>
        <v>0.12081538461538423</v>
      </c>
      <c r="Y21" s="197">
        <f t="shared" si="8"/>
        <v>-0.07417154802314219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27800</v>
      </c>
      <c r="G22" s="141">
        <v>15891.1</v>
      </c>
      <c r="H22" s="170">
        <f t="shared" si="9"/>
        <v>-11908.9</v>
      </c>
      <c r="I22" s="211">
        <f t="shared" si="12"/>
        <v>0.5716223021582734</v>
      </c>
      <c r="J22" s="171">
        <f t="shared" si="1"/>
        <v>-53432.9</v>
      </c>
      <c r="K22" s="171">
        <f t="shared" si="11"/>
        <v>22.922941549824017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1118.1800000000003</v>
      </c>
      <c r="T22" s="172">
        <f t="shared" si="6"/>
        <v>1.075691197136382</v>
      </c>
      <c r="U22" s="136">
        <f>F22-квітень!F22</f>
        <v>5700</v>
      </c>
      <c r="V22" s="124">
        <f>G22-квітень!G22</f>
        <v>267.5500000000011</v>
      </c>
      <c r="W22" s="116">
        <f t="shared" si="10"/>
        <v>-5432.449999999999</v>
      </c>
      <c r="X22" s="180">
        <f t="shared" si="13"/>
        <v>0.04693859649122826</v>
      </c>
      <c r="Y22" s="197">
        <f t="shared" si="8"/>
        <v>-0.34823872950629076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201037.2</v>
      </c>
      <c r="G23" s="158">
        <v>164531.37</v>
      </c>
      <c r="H23" s="102">
        <f t="shared" si="9"/>
        <v>-36505.830000000016</v>
      </c>
      <c r="I23" s="208">
        <f t="shared" si="12"/>
        <v>0.8184125624511284</v>
      </c>
      <c r="J23" s="108">
        <f t="shared" si="1"/>
        <v>-307035.82999999996</v>
      </c>
      <c r="K23" s="108">
        <f t="shared" si="11"/>
        <v>34.890333763671435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178305.79</v>
      </c>
      <c r="S23" s="111">
        <f t="shared" si="5"/>
        <v>-13774.420000000013</v>
      </c>
      <c r="T23" s="147">
        <f t="shared" si="6"/>
        <v>0.9227483302701499</v>
      </c>
      <c r="U23" s="107">
        <f>F23-квітень!F23</f>
        <v>42040</v>
      </c>
      <c r="V23" s="110">
        <f>G23-квітень!G23</f>
        <v>1790.1999999999825</v>
      </c>
      <c r="W23" s="111">
        <f t="shared" si="10"/>
        <v>-40249.80000000002</v>
      </c>
      <c r="X23" s="148">
        <f t="shared" si="13"/>
        <v>0.04258325404376743</v>
      </c>
      <c r="Y23" s="197">
        <f>T23-Q23</f>
        <v>-0.17212322349454545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71677.1</v>
      </c>
      <c r="H24" s="102">
        <f t="shared" si="9"/>
        <v>-14025.910000000003</v>
      </c>
      <c r="I24" s="208">
        <f t="shared" si="12"/>
        <v>0.836342854235808</v>
      </c>
      <c r="J24" s="108">
        <f t="shared" si="1"/>
        <v>-145164.9</v>
      </c>
      <c r="K24" s="148">
        <f aca="true" t="shared" si="14" ref="K24:K41">G24/E24</f>
        <v>0.3305498934708221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-10055.029999999999</v>
      </c>
      <c r="T24" s="147">
        <f t="shared" si="6"/>
        <v>0.8769757988688169</v>
      </c>
      <c r="U24" s="107">
        <f>F24-квітень!F24</f>
        <v>15913</v>
      </c>
      <c r="V24" s="110">
        <f>G24-квітень!G24</f>
        <v>317.24000000000524</v>
      </c>
      <c r="W24" s="111">
        <f t="shared" si="10"/>
        <v>-15595.759999999995</v>
      </c>
      <c r="X24" s="148">
        <f t="shared" si="13"/>
        <v>0.01993590146421198</v>
      </c>
      <c r="Y24" s="197">
        <f aca="true" t="shared" si="15" ref="Y24:Y99">T24-Q24</f>
        <v>-0.1694022459635618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11863.5</v>
      </c>
      <c r="G25" s="141">
        <v>12590.48</v>
      </c>
      <c r="H25" s="170">
        <f t="shared" si="9"/>
        <v>726.9799999999996</v>
      </c>
      <c r="I25" s="211">
        <f t="shared" si="12"/>
        <v>1.061278712015847</v>
      </c>
      <c r="J25" s="171">
        <f t="shared" si="1"/>
        <v>-16193.52</v>
      </c>
      <c r="K25" s="180">
        <f t="shared" si="14"/>
        <v>0.4374124513618677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2454.4399999999987</v>
      </c>
      <c r="T25" s="152">
        <f t="shared" si="6"/>
        <v>1.242149794199707</v>
      </c>
      <c r="U25" s="136">
        <f>F25-квітень!F25</f>
        <v>627</v>
      </c>
      <c r="V25" s="124">
        <f>G25-квітень!G25</f>
        <v>23.36999999999898</v>
      </c>
      <c r="W25" s="116">
        <f t="shared" si="10"/>
        <v>-603.630000000001</v>
      </c>
      <c r="X25" s="180">
        <f t="shared" si="13"/>
        <v>0.037272727272725646</v>
      </c>
      <c r="Y25" s="197">
        <f t="shared" si="15"/>
        <v>0.10955284824516842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292.61</v>
      </c>
      <c r="G26" s="139">
        <f>G28+G29</f>
        <v>703.42</v>
      </c>
      <c r="H26" s="158">
        <f t="shared" si="9"/>
        <v>410.80999999999995</v>
      </c>
      <c r="I26" s="212">
        <f t="shared" si="12"/>
        <v>2.4039506510372166</v>
      </c>
      <c r="J26" s="176">
        <f t="shared" si="1"/>
        <v>-818.58</v>
      </c>
      <c r="K26" s="191">
        <f t="shared" si="14"/>
        <v>0.46216819973718787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506.15</v>
      </c>
      <c r="T26" s="162">
        <f t="shared" si="6"/>
        <v>3.565772798702286</v>
      </c>
      <c r="U26" s="167">
        <f>F26-квітень!F26</f>
        <v>12</v>
      </c>
      <c r="V26" s="167">
        <f>G26-квітень!G26</f>
        <v>5.1299999999999955</v>
      </c>
      <c r="W26" s="176">
        <f t="shared" si="10"/>
        <v>-6.8700000000000045</v>
      </c>
      <c r="X26" s="191">
        <f t="shared" si="13"/>
        <v>0.4274999999999996</v>
      </c>
      <c r="Y26" s="197">
        <f t="shared" si="15"/>
        <v>2.559751210880303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11887.07</v>
      </c>
      <c r="H27" s="158">
        <f t="shared" si="9"/>
        <v>316.1800000000003</v>
      </c>
      <c r="I27" s="212">
        <f t="shared" si="12"/>
        <v>1.027325469345919</v>
      </c>
      <c r="J27" s="176">
        <f t="shared" si="1"/>
        <v>-15374.93</v>
      </c>
      <c r="K27" s="191">
        <f t="shared" si="14"/>
        <v>0.4360307387572445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1948.300000000001</v>
      </c>
      <c r="T27" s="162">
        <f t="shared" si="6"/>
        <v>1.196030293487021</v>
      </c>
      <c r="U27" s="167">
        <f>F27-квітень!F27</f>
        <v>615</v>
      </c>
      <c r="V27" s="167">
        <f>G27-квітень!G27</f>
        <v>18.25</v>
      </c>
      <c r="W27" s="176">
        <f t="shared" si="10"/>
        <v>-596.75</v>
      </c>
      <c r="X27" s="191">
        <f t="shared" si="13"/>
        <v>0.02967479674796748</v>
      </c>
      <c r="Y27" s="197">
        <f t="shared" si="15"/>
        <v>0.05542192439549121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137.8</v>
      </c>
      <c r="G28" s="206">
        <v>167.89</v>
      </c>
      <c r="H28" s="218">
        <f t="shared" si="9"/>
        <v>30.089999999999975</v>
      </c>
      <c r="I28" s="220">
        <f t="shared" si="12"/>
        <v>1.2183599419448474</v>
      </c>
      <c r="J28" s="221">
        <f t="shared" si="1"/>
        <v>-148.11</v>
      </c>
      <c r="K28" s="222">
        <f t="shared" si="14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3.549999999999983</v>
      </c>
      <c r="T28" s="222">
        <f t="shared" si="6"/>
        <v>1.021601557746136</v>
      </c>
      <c r="U28" s="206">
        <f>F28-квітень!F28</f>
        <v>5</v>
      </c>
      <c r="V28" s="206">
        <f>G28-квітень!G28</f>
        <v>0</v>
      </c>
      <c r="W28" s="221">
        <f t="shared" si="10"/>
        <v>-5</v>
      </c>
      <c r="X28" s="222">
        <f t="shared" si="13"/>
        <v>0</v>
      </c>
      <c r="Y28" s="277">
        <f t="shared" si="15"/>
        <v>-0.12369944620442763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154.81</v>
      </c>
      <c r="G29" s="206">
        <v>535.53</v>
      </c>
      <c r="H29" s="218">
        <f t="shared" si="9"/>
        <v>380.71999999999997</v>
      </c>
      <c r="I29" s="220">
        <f t="shared" si="12"/>
        <v>3.4592726568051155</v>
      </c>
      <c r="J29" s="221">
        <f t="shared" si="1"/>
        <v>-670.47</v>
      </c>
      <c r="K29" s="222">
        <f t="shared" si="14"/>
        <v>0.4440547263681592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502.59999999999997</v>
      </c>
      <c r="T29" s="222">
        <f t="shared" si="6"/>
        <v>16.262678408745824</v>
      </c>
      <c r="U29" s="206">
        <f>F29-квітень!F29</f>
        <v>7</v>
      </c>
      <c r="V29" s="206">
        <f>G29-квітень!G29</f>
        <v>5.1299999999999955</v>
      </c>
      <c r="W29" s="221">
        <f t="shared" si="10"/>
        <v>-1.8700000000000045</v>
      </c>
      <c r="X29" s="222">
        <f t="shared" si="13"/>
        <v>0.7328571428571422</v>
      </c>
      <c r="Y29" s="277">
        <f t="shared" si="15"/>
        <v>15.28772327608402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345.09</v>
      </c>
      <c r="G30" s="206">
        <v>603.31</v>
      </c>
      <c r="H30" s="218">
        <f t="shared" si="9"/>
        <v>258.21999999999997</v>
      </c>
      <c r="I30" s="220">
        <f t="shared" si="12"/>
        <v>1.7482685676200411</v>
      </c>
      <c r="J30" s="221">
        <f t="shared" si="1"/>
        <v>-1751.69</v>
      </c>
      <c r="K30" s="222">
        <f t="shared" si="14"/>
        <v>0.2561825902335456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512.93</v>
      </c>
      <c r="T30" s="222">
        <f t="shared" si="6"/>
        <v>6.675260013277273</v>
      </c>
      <c r="U30" s="206">
        <f>F30-квітень!F30</f>
        <v>15</v>
      </c>
      <c r="V30" s="206">
        <f>G30-квітень!G30</f>
        <v>0.5899999999999181</v>
      </c>
      <c r="W30" s="221">
        <f t="shared" si="10"/>
        <v>-14.410000000000082</v>
      </c>
      <c r="X30" s="222">
        <f t="shared" si="13"/>
        <v>0.03933333333332788</v>
      </c>
      <c r="Y30" s="277">
        <f t="shared" si="15"/>
        <v>5.6145686496920915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11225.8</v>
      </c>
      <c r="G31" s="206">
        <v>11283.76</v>
      </c>
      <c r="H31" s="218">
        <f t="shared" si="9"/>
        <v>57.960000000000946</v>
      </c>
      <c r="I31" s="220">
        <f t="shared" si="12"/>
        <v>1.0051631064155784</v>
      </c>
      <c r="J31" s="221">
        <f t="shared" si="1"/>
        <v>-13623.24</v>
      </c>
      <c r="K31" s="222">
        <f t="shared" si="14"/>
        <v>0.45303569277713096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1435.3700000000008</v>
      </c>
      <c r="T31" s="222">
        <f t="shared" si="6"/>
        <v>1.1457466651909602</v>
      </c>
      <c r="U31" s="206">
        <f>F31-квітень!F31</f>
        <v>600</v>
      </c>
      <c r="V31" s="206">
        <f>G31-квітень!G31</f>
        <v>17.659999999999854</v>
      </c>
      <c r="W31" s="221"/>
      <c r="X31" s="222">
        <f t="shared" si="13"/>
        <v>0.02943333333333309</v>
      </c>
      <c r="Y31" s="277">
        <f t="shared" si="15"/>
        <v>-0.0030456200464108463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174.03</v>
      </c>
      <c r="G32" s="120">
        <v>461.23</v>
      </c>
      <c r="H32" s="170">
        <f t="shared" si="9"/>
        <v>287.20000000000005</v>
      </c>
      <c r="I32" s="211">
        <f t="shared" si="12"/>
        <v>2.650290179854048</v>
      </c>
      <c r="J32" s="171">
        <f t="shared" si="1"/>
        <v>179.23000000000002</v>
      </c>
      <c r="K32" s="180">
        <f t="shared" si="14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506.71000000000004</v>
      </c>
      <c r="T32" s="150">
        <f t="shared" si="6"/>
        <v>-10.141380826737029</v>
      </c>
      <c r="U32" s="136">
        <f>F32-квітень!F32</f>
        <v>2</v>
      </c>
      <c r="V32" s="124">
        <f>G32-квітень!G32</f>
        <v>0</v>
      </c>
      <c r="W32" s="116">
        <f t="shared" si="10"/>
        <v>-2</v>
      </c>
      <c r="X32" s="180">
        <f t="shared" si="13"/>
        <v>0</v>
      </c>
      <c r="Y32" s="198">
        <f t="shared" si="15"/>
        <v>-10.578413960667538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4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314.74</v>
      </c>
      <c r="T33" s="75">
        <f t="shared" si="6"/>
        <v>-0.6274043433298863</v>
      </c>
      <c r="U33" s="73">
        <f>F33-квітень!F33</f>
        <v>0</v>
      </c>
      <c r="V33" s="98">
        <f>G33-квітень!G33</f>
        <v>0</v>
      </c>
      <c r="W33" s="74">
        <f t="shared" si="10"/>
        <v>0</v>
      </c>
      <c r="X33" s="75" t="e">
        <f t="shared" si="13"/>
        <v>#DIV/0!</v>
      </c>
      <c r="Y33" s="277">
        <f t="shared" si="15"/>
        <v>-1.0417232031243842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146.18</v>
      </c>
      <c r="G34" s="94">
        <v>339.89</v>
      </c>
      <c r="H34" s="71">
        <f t="shared" si="9"/>
        <v>193.70999999999998</v>
      </c>
      <c r="I34" s="209">
        <f t="shared" si="12"/>
        <v>2.325147078943768</v>
      </c>
      <c r="J34" s="72">
        <f t="shared" si="1"/>
        <v>157.89</v>
      </c>
      <c r="K34" s="75">
        <f t="shared" si="14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6"/>
        <v>2.2977961060032452</v>
      </c>
      <c r="U34" s="73">
        <f>F34-квітень!F34</f>
        <v>2</v>
      </c>
      <c r="V34" s="98">
        <f>G34-квітень!G34</f>
        <v>0</v>
      </c>
      <c r="W34" s="74"/>
      <c r="X34" s="75">
        <f t="shared" si="13"/>
        <v>0</v>
      </c>
      <c r="Y34" s="277">
        <f t="shared" si="15"/>
        <v>1.8472006763283177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73665.48000000001</v>
      </c>
      <c r="G35" s="120">
        <v>58625.39</v>
      </c>
      <c r="H35" s="102">
        <f t="shared" si="9"/>
        <v>-15040.090000000011</v>
      </c>
      <c r="I35" s="211">
        <f t="shared" si="12"/>
        <v>0.7958325935024111</v>
      </c>
      <c r="J35" s="171">
        <f t="shared" si="1"/>
        <v>-129150.61</v>
      </c>
      <c r="K35" s="180">
        <f t="shared" si="14"/>
        <v>0.31220917476141785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-13016.180000000008</v>
      </c>
      <c r="T35" s="149">
        <f t="shared" si="6"/>
        <v>0.8183152602602092</v>
      </c>
      <c r="U35" s="136">
        <f>F35-квітень!F35</f>
        <v>15284.000000000007</v>
      </c>
      <c r="V35" s="124">
        <f>G35-квітень!G35</f>
        <v>293.8700000000026</v>
      </c>
      <c r="W35" s="116">
        <f t="shared" si="10"/>
        <v>-14990.130000000005</v>
      </c>
      <c r="X35" s="180">
        <f t="shared" si="13"/>
        <v>0.019227296519235965</v>
      </c>
      <c r="Y35" s="198">
        <f t="shared" si="15"/>
        <v>-0.21813851966701014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18040.16</v>
      </c>
      <c r="H36" s="158">
        <f t="shared" si="9"/>
        <v>-6239.070000000003</v>
      </c>
      <c r="I36" s="212">
        <f t="shared" si="12"/>
        <v>0.7430285062582297</v>
      </c>
      <c r="J36" s="176">
        <f t="shared" si="1"/>
        <v>-42649.84</v>
      </c>
      <c r="K36" s="191">
        <f t="shared" si="14"/>
        <v>0.2972509474377987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-6111.080000000002</v>
      </c>
      <c r="T36" s="162">
        <f t="shared" si="6"/>
        <v>0.74696620132134</v>
      </c>
      <c r="U36" s="167">
        <f>F36-квітень!F36</f>
        <v>4984</v>
      </c>
      <c r="V36" s="167">
        <f>G36-квітень!G36</f>
        <v>44.25</v>
      </c>
      <c r="W36" s="176">
        <f t="shared" si="10"/>
        <v>-4939.75</v>
      </c>
      <c r="X36" s="191">
        <f aca="true" t="shared" si="17" ref="X36:X41">V36/U36*100</f>
        <v>0.8878410914927769</v>
      </c>
      <c r="Y36" s="197">
        <f t="shared" si="15"/>
        <v>-0.28854594466113237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40585.22</v>
      </c>
      <c r="H37" s="158">
        <f t="shared" si="9"/>
        <v>-8801.029999999999</v>
      </c>
      <c r="I37" s="212">
        <f t="shared" si="12"/>
        <v>0.821791895517477</v>
      </c>
      <c r="J37" s="176">
        <f t="shared" si="1"/>
        <v>-86500.78</v>
      </c>
      <c r="K37" s="191">
        <f t="shared" si="14"/>
        <v>0.319352407031459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-6905.009999999995</v>
      </c>
      <c r="T37" s="162">
        <f t="shared" si="6"/>
        <v>0.8546014622376014</v>
      </c>
      <c r="U37" s="167">
        <f>F37-квітень!F37</f>
        <v>10300</v>
      </c>
      <c r="V37" s="167">
        <f>G37-квітень!G37</f>
        <v>249.61000000000058</v>
      </c>
      <c r="W37" s="176">
        <f t="shared" si="10"/>
        <v>-10050.39</v>
      </c>
      <c r="X37" s="191">
        <f>V37/U37</f>
        <v>0.02423398058252433</v>
      </c>
      <c r="Y37" s="197">
        <f t="shared" si="15"/>
        <v>-0.18230260002657583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23184.4</v>
      </c>
      <c r="G38" s="206">
        <v>17694.53</v>
      </c>
      <c r="H38" s="218">
        <f t="shared" si="9"/>
        <v>-5489.870000000003</v>
      </c>
      <c r="I38" s="220">
        <f t="shared" si="12"/>
        <v>0.7632084505098254</v>
      </c>
      <c r="J38" s="221">
        <f t="shared" si="1"/>
        <v>-39595.47</v>
      </c>
      <c r="K38" s="222">
        <f t="shared" si="14"/>
        <v>0.30885896316983763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-5851.2800000000025</v>
      </c>
      <c r="T38" s="222">
        <f t="shared" si="6"/>
        <v>0.7514937901902715</v>
      </c>
      <c r="U38" s="206">
        <f>F38-квітень!F38</f>
        <v>4700</v>
      </c>
      <c r="V38" s="206">
        <f>G38-квітень!G38</f>
        <v>41.919999999998254</v>
      </c>
      <c r="W38" s="221">
        <f t="shared" si="10"/>
        <v>-4658.080000000002</v>
      </c>
      <c r="X38" s="222">
        <f t="shared" si="17"/>
        <v>0.8919148936169842</v>
      </c>
      <c r="Y38" s="277">
        <f t="shared" si="15"/>
        <v>-0.2854998586082712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41593.45</v>
      </c>
      <c r="G39" s="206">
        <v>34086.86</v>
      </c>
      <c r="H39" s="218">
        <f t="shared" si="9"/>
        <v>-7506.5899999999965</v>
      </c>
      <c r="I39" s="220">
        <f t="shared" si="12"/>
        <v>0.8195247088183356</v>
      </c>
      <c r="J39" s="221">
        <f t="shared" si="1"/>
        <v>-71899.14</v>
      </c>
      <c r="K39" s="222">
        <f t="shared" si="14"/>
        <v>0.321616628611326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-5404.5999999999985</v>
      </c>
      <c r="T39" s="222">
        <f t="shared" si="6"/>
        <v>0.8631450951674109</v>
      </c>
      <c r="U39" s="206">
        <f>F39-квітень!F39</f>
        <v>8600</v>
      </c>
      <c r="V39" s="206">
        <f>G39-квітень!G39</f>
        <v>179.58000000000175</v>
      </c>
      <c r="W39" s="221">
        <f t="shared" si="10"/>
        <v>-8420.419999999998</v>
      </c>
      <c r="X39" s="222">
        <f t="shared" si="17"/>
        <v>2.0881395348837413</v>
      </c>
      <c r="Y39" s="277">
        <f t="shared" si="15"/>
        <v>-0.17393695326191172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1094.83</v>
      </c>
      <c r="G40" s="206">
        <v>345.63</v>
      </c>
      <c r="H40" s="218">
        <f t="shared" si="9"/>
        <v>-749.1999999999999</v>
      </c>
      <c r="I40" s="220">
        <f t="shared" si="12"/>
        <v>0.3156928472913603</v>
      </c>
      <c r="J40" s="221">
        <f t="shared" si="1"/>
        <v>-3054.37</v>
      </c>
      <c r="K40" s="222">
        <f t="shared" si="14"/>
        <v>0.10165588235294118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-259.79999999999995</v>
      </c>
      <c r="T40" s="222">
        <f t="shared" si="6"/>
        <v>0.5708835042862098</v>
      </c>
      <c r="U40" s="206">
        <f>F40-квітень!F40</f>
        <v>283.9999999999999</v>
      </c>
      <c r="V40" s="206">
        <f>G40-квітень!G40</f>
        <v>2.329999999999984</v>
      </c>
      <c r="W40" s="221">
        <f t="shared" si="10"/>
        <v>-281.6699999999999</v>
      </c>
      <c r="X40" s="222">
        <f t="shared" si="17"/>
        <v>0.8204225352112623</v>
      </c>
      <c r="Y40" s="277">
        <f t="shared" si="15"/>
        <v>-0.4402869552610237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7792.8</v>
      </c>
      <c r="G41" s="206">
        <v>6498.36</v>
      </c>
      <c r="H41" s="218">
        <f t="shared" si="9"/>
        <v>-1294.4400000000005</v>
      </c>
      <c r="I41" s="220">
        <f t="shared" si="12"/>
        <v>0.8338928241453649</v>
      </c>
      <c r="J41" s="221">
        <f t="shared" si="1"/>
        <v>-14601.64</v>
      </c>
      <c r="K41" s="222">
        <f t="shared" si="14"/>
        <v>0.3079791469194313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-1500.4100000000008</v>
      </c>
      <c r="T41" s="222">
        <f t="shared" si="6"/>
        <v>0.8124199095610949</v>
      </c>
      <c r="U41" s="206">
        <f>F41-квітень!F41</f>
        <v>1700</v>
      </c>
      <c r="V41" s="206">
        <f>G41-квітень!G41</f>
        <v>70.02999999999975</v>
      </c>
      <c r="W41" s="221">
        <f t="shared" si="10"/>
        <v>-1629.9700000000003</v>
      </c>
      <c r="X41" s="222">
        <f t="shared" si="17"/>
        <v>4.119411764705867</v>
      </c>
      <c r="Y41" s="277">
        <f t="shared" si="15"/>
        <v>-0.22359104564100574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77.43</v>
      </c>
      <c r="G43" s="106">
        <v>67.96</v>
      </c>
      <c r="H43" s="102">
        <f t="shared" si="9"/>
        <v>-9.470000000000013</v>
      </c>
      <c r="I43" s="208">
        <f>G43/F43</f>
        <v>0.8776959834689395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-7.27000000000001</v>
      </c>
      <c r="T43" s="148">
        <f aca="true" t="shared" si="18" ref="T43:T51">G43/R43</f>
        <v>0.9033630200717797</v>
      </c>
      <c r="U43" s="107">
        <f>F43-квітень!F43</f>
        <v>27.000000000000007</v>
      </c>
      <c r="V43" s="110">
        <f>G43-квітень!G43</f>
        <v>0</v>
      </c>
      <c r="W43" s="111">
        <f t="shared" si="10"/>
        <v>-27.000000000000007</v>
      </c>
      <c r="X43" s="148">
        <f>V43/U43</f>
        <v>0</v>
      </c>
      <c r="Y43" s="278">
        <f t="shared" si="15"/>
        <v>-0.2087400280088223</v>
      </c>
    </row>
    <row r="44" spans="1:25" s="6" customFormat="1" ht="15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47.9</v>
      </c>
      <c r="G44" s="94">
        <v>56.05</v>
      </c>
      <c r="H44" s="71">
        <f t="shared" si="9"/>
        <v>8.149999999999999</v>
      </c>
      <c r="I44" s="209">
        <f>G44/F44</f>
        <v>1.1701461377870563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11.79</v>
      </c>
      <c r="T44" s="75">
        <f t="shared" si="18"/>
        <v>1.2663804789877993</v>
      </c>
      <c r="U44" s="73">
        <f>F44-квітень!F44</f>
        <v>17</v>
      </c>
      <c r="V44" s="98">
        <f>G44-квітень!G44</f>
        <v>0</v>
      </c>
      <c r="W44" s="74">
        <f t="shared" si="10"/>
        <v>-17</v>
      </c>
      <c r="X44" s="75">
        <f>V44/U44</f>
        <v>0</v>
      </c>
      <c r="Y44" s="277">
        <f t="shared" si="15"/>
        <v>0.20583812035841098</v>
      </c>
    </row>
    <row r="45" spans="1:25" s="6" customFormat="1" ht="15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29.53</v>
      </c>
      <c r="G45" s="94">
        <v>11.91</v>
      </c>
      <c r="H45" s="71">
        <f t="shared" si="9"/>
        <v>-17.62</v>
      </c>
      <c r="I45" s="209">
        <f>G45/F45</f>
        <v>0.4033186589908567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-19.06</v>
      </c>
      <c r="T45" s="75">
        <f t="shared" si="18"/>
        <v>0.38456570875040363</v>
      </c>
      <c r="U45" s="73">
        <f>F45-квітень!F45</f>
        <v>10</v>
      </c>
      <c r="V45" s="98">
        <f>G45-квітень!G45</f>
        <v>0</v>
      </c>
      <c r="W45" s="74">
        <f t="shared" si="10"/>
        <v>-10</v>
      </c>
      <c r="X45" s="75">
        <f>V45/U45</f>
        <v>0</v>
      </c>
      <c r="Y45" s="277">
        <f t="shared" si="15"/>
        <v>-0.8070685324947325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25.59</v>
      </c>
      <c r="T46" s="148">
        <f t="shared" si="18"/>
        <v>0.04407919312663429</v>
      </c>
      <c r="U46" s="107">
        <f>F46-квітень!F46</f>
        <v>0</v>
      </c>
      <c r="V46" s="110">
        <f>G46-квітень!G46</f>
        <v>0</v>
      </c>
      <c r="W46" s="111">
        <f t="shared" si="10"/>
        <v>0</v>
      </c>
      <c r="X46" s="148"/>
      <c r="Y46" s="197">
        <f t="shared" si="15"/>
        <v>0.04407919312663429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115256.76</v>
      </c>
      <c r="G47" s="113">
        <v>92787.5</v>
      </c>
      <c r="H47" s="102">
        <f t="shared" si="9"/>
        <v>-22469.259999999995</v>
      </c>
      <c r="I47" s="208">
        <f>G47/F47</f>
        <v>0.8050503935734442</v>
      </c>
      <c r="J47" s="108">
        <f t="shared" si="1"/>
        <v>-161763.3</v>
      </c>
      <c r="K47" s="148">
        <f>G47/E47</f>
        <v>0.3645146666205724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96524.99</v>
      </c>
      <c r="S47" s="123">
        <f t="shared" si="5"/>
        <v>-3737.4900000000052</v>
      </c>
      <c r="T47" s="160">
        <f t="shared" si="18"/>
        <v>0.9612795608681233</v>
      </c>
      <c r="U47" s="107">
        <f>F47-квітень!F47</f>
        <v>26100</v>
      </c>
      <c r="V47" s="110">
        <f>G47-квітень!G47</f>
        <v>1472.9600000000064</v>
      </c>
      <c r="W47" s="111">
        <f t="shared" si="10"/>
        <v>-24627.039999999994</v>
      </c>
      <c r="X47" s="148">
        <f>V47/U47</f>
        <v>0.05643524904214584</v>
      </c>
      <c r="Y47" s="197">
        <f t="shared" si="15"/>
        <v>-0.17832207361678076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25483.87</v>
      </c>
      <c r="G49" s="94">
        <v>18130.07</v>
      </c>
      <c r="H49" s="71">
        <f>G49-F49</f>
        <v>-7353.799999999999</v>
      </c>
      <c r="I49" s="209">
        <f>G49/F49</f>
        <v>0.7114331535987274</v>
      </c>
      <c r="J49" s="72">
        <f t="shared" si="1"/>
        <v>-37584.93</v>
      </c>
      <c r="K49" s="75">
        <f>G49/E49</f>
        <v>0.3254073409315265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-1131.619999999999</v>
      </c>
      <c r="T49" s="153">
        <f t="shared" si="18"/>
        <v>0.9412502225920987</v>
      </c>
      <c r="U49" s="73">
        <f>F49-квітень!F49</f>
        <v>6500</v>
      </c>
      <c r="V49" s="98">
        <f>G49-квітень!G49</f>
        <v>206.90999999999985</v>
      </c>
      <c r="W49" s="74">
        <f t="shared" si="10"/>
        <v>-6293.09</v>
      </c>
      <c r="X49" s="75">
        <f>V49/U49</f>
        <v>0.03183230769230767</v>
      </c>
      <c r="Y49" s="197">
        <f t="shared" si="15"/>
        <v>-0.29602668893022166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89740.49</v>
      </c>
      <c r="G50" s="94">
        <v>74625.01</v>
      </c>
      <c r="H50" s="71">
        <f>G50-F50</f>
        <v>-15115.48000000001</v>
      </c>
      <c r="I50" s="209">
        <f>G50/F50</f>
        <v>0.8315645479537719</v>
      </c>
      <c r="J50" s="72">
        <f t="shared" si="1"/>
        <v>-124129.99</v>
      </c>
      <c r="K50" s="75">
        <f>G50/E50</f>
        <v>0.37546230283514875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77240.19</v>
      </c>
      <c r="S50" s="85">
        <f t="shared" si="5"/>
        <v>-2615.1800000000076</v>
      </c>
      <c r="T50" s="153">
        <f t="shared" si="18"/>
        <v>0.966142237609721</v>
      </c>
      <c r="U50" s="73">
        <f>F50-квітень!F50</f>
        <v>19600</v>
      </c>
      <c r="V50" s="98">
        <f>G50-квітень!G50</f>
        <v>1266.0399999999936</v>
      </c>
      <c r="W50" s="74">
        <f t="shared" si="10"/>
        <v>-18333.960000000006</v>
      </c>
      <c r="X50" s="75">
        <f>V50/U50</f>
        <v>0.06459387755102008</v>
      </c>
      <c r="Y50" s="197">
        <f t="shared" si="15"/>
        <v>-0.14876622944568896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19247.91</v>
      </c>
      <c r="G53" s="103">
        <f>G54+G55+G56+G57+G58+G60+G62+G63+G64+G65+G66+G71+G72+G76+G59+G61</f>
        <v>17984.329999999998</v>
      </c>
      <c r="H53" s="103">
        <f>H54+H55+H56+H57+H58+H60+H62+H63+H64+H65+H66+H71+H72+H76+H59+H61</f>
        <v>-1263.5799999999997</v>
      </c>
      <c r="I53" s="143">
        <f aca="true" t="shared" si="19" ref="I53:I72">G53/F53</f>
        <v>0.9343523530606699</v>
      </c>
      <c r="J53" s="104">
        <f>G53-E53</f>
        <v>-29264.570000000003</v>
      </c>
      <c r="K53" s="156">
        <f aca="true" t="shared" si="20" ref="K53:K72">G53/E53</f>
        <v>0.3806296019589874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27355.12</v>
      </c>
      <c r="S53" s="103">
        <f t="shared" si="5"/>
        <v>-9370.79</v>
      </c>
      <c r="T53" s="143">
        <f>G53/R53</f>
        <v>0.6574392654830247</v>
      </c>
      <c r="U53" s="103">
        <f>U54+U55+U56+U57+U58+U60+U62+U63+U64+U65+U66+U71+U72+U76+U59+U61</f>
        <v>4857.360000000001</v>
      </c>
      <c r="V53" s="103">
        <f>V54+V55+V56+V57+V58+V60+V62+V63+V64+V65+V66+V71+V72+V76+V59+V61</f>
        <v>1848.5400000000006</v>
      </c>
      <c r="W53" s="103">
        <f>W54+W55+W56+W57+W58+W60+W62+W63+W64+W65+W66+W71+W72+W76</f>
        <v>-2998.819999999999</v>
      </c>
      <c r="X53" s="143">
        <f>V53/U53</f>
        <v>0.3805647512228866</v>
      </c>
      <c r="Y53" s="197">
        <f t="shared" si="15"/>
        <v>-0.023567258206897312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1106.11</v>
      </c>
      <c r="G54" s="106">
        <v>58.91</v>
      </c>
      <c r="H54" s="102">
        <f aca="true" t="shared" si="21" ref="H54:H78">G54-F54</f>
        <v>-1047.1999999999998</v>
      </c>
      <c r="I54" s="213">
        <f t="shared" si="19"/>
        <v>0.05325871748741084</v>
      </c>
      <c r="J54" s="115">
        <f>G54-E54</f>
        <v>-2591.09</v>
      </c>
      <c r="K54" s="155">
        <f t="shared" si="20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-2145.86</v>
      </c>
      <c r="T54" s="155">
        <f>G54/R54</f>
        <v>0.026719340339355125</v>
      </c>
      <c r="U54" s="107">
        <f>F54-квітень!F54</f>
        <v>1100</v>
      </c>
      <c r="V54" s="110">
        <f>G54-квітень!G54</f>
        <v>0</v>
      </c>
      <c r="W54" s="111">
        <f aca="true" t="shared" si="22" ref="W54:W78">V54-U54</f>
        <v>-1100</v>
      </c>
      <c r="X54" s="155">
        <f>V54/U54</f>
        <v>0</v>
      </c>
      <c r="Y54" s="197">
        <f t="shared" si="15"/>
        <v>-0.9793703497090891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1500.08</v>
      </c>
      <c r="G55" s="106">
        <v>3366.37</v>
      </c>
      <c r="H55" s="102">
        <f t="shared" si="21"/>
        <v>1866.29</v>
      </c>
      <c r="I55" s="213">
        <f t="shared" si="19"/>
        <v>2.2441269798944057</v>
      </c>
      <c r="J55" s="115">
        <f aca="true" t="shared" si="23" ref="J55:J78">G55-E55</f>
        <v>-1633.63</v>
      </c>
      <c r="K55" s="155">
        <f t="shared" si="20"/>
        <v>0.6732739999999999</v>
      </c>
      <c r="L55" s="115"/>
      <c r="M55" s="115"/>
      <c r="N55" s="115"/>
      <c r="O55" s="115">
        <v>27997.6</v>
      </c>
      <c r="P55" s="115">
        <f aca="true" t="shared" si="24" ref="P55:P72">E55-O55</f>
        <v>-22997.6</v>
      </c>
      <c r="Q55" s="155">
        <f aca="true" t="shared" si="25" ref="Q55:Q72">E55/O55</f>
        <v>0.17858673600594338</v>
      </c>
      <c r="R55" s="115">
        <v>10479.16</v>
      </c>
      <c r="S55" s="115">
        <f t="shared" si="5"/>
        <v>-7112.79</v>
      </c>
      <c r="T55" s="155">
        <f aca="true" t="shared" si="26" ref="T55:T78">G55/R55</f>
        <v>0.3212442600361098</v>
      </c>
      <c r="U55" s="107">
        <f>F55-квітень!F55</f>
        <v>499.9999999999999</v>
      </c>
      <c r="V55" s="110">
        <f>G55-квітень!G55</f>
        <v>1129.1999999999998</v>
      </c>
      <c r="W55" s="111">
        <f t="shared" si="22"/>
        <v>629.1999999999999</v>
      </c>
      <c r="X55" s="155">
        <f aca="true" t="shared" si="27" ref="X55:X77">V55/U55</f>
        <v>2.2584</v>
      </c>
      <c r="Y55" s="197">
        <f t="shared" si="15"/>
        <v>0.1426575240301664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56</v>
      </c>
      <c r="G56" s="106">
        <v>51.82</v>
      </c>
      <c r="H56" s="102">
        <f t="shared" si="21"/>
        <v>-4.18</v>
      </c>
      <c r="I56" s="213">
        <f t="shared" si="19"/>
        <v>0.9253571428571429</v>
      </c>
      <c r="J56" s="115">
        <f t="shared" si="23"/>
        <v>-106.18</v>
      </c>
      <c r="K56" s="155">
        <f t="shared" si="20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6</v>
      </c>
      <c r="G57" s="106">
        <v>2.02</v>
      </c>
      <c r="H57" s="102">
        <f t="shared" si="21"/>
        <v>-3.98</v>
      </c>
      <c r="I57" s="213">
        <f t="shared" si="19"/>
        <v>0.33666666666666667</v>
      </c>
      <c r="J57" s="115">
        <f t="shared" si="23"/>
        <v>-10.98</v>
      </c>
      <c r="K57" s="155">
        <f t="shared" si="20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268.43</v>
      </c>
      <c r="G58" s="106">
        <v>246.63</v>
      </c>
      <c r="H58" s="102">
        <f t="shared" si="21"/>
        <v>-21.80000000000001</v>
      </c>
      <c r="I58" s="213">
        <f t="shared" si="19"/>
        <v>0.918787020824796</v>
      </c>
      <c r="J58" s="115">
        <f t="shared" si="23"/>
        <v>-497.37</v>
      </c>
      <c r="K58" s="155">
        <f t="shared" si="20"/>
        <v>0.33149193548387096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-195.63</v>
      </c>
      <c r="T58" s="155">
        <f t="shared" si="26"/>
        <v>0.5576583909917243</v>
      </c>
      <c r="U58" s="107">
        <f>F58-квітень!F58</f>
        <v>60</v>
      </c>
      <c r="V58" s="110">
        <f>G58-квітень!G58</f>
        <v>0.8499999999999943</v>
      </c>
      <c r="W58" s="111">
        <f t="shared" si="22"/>
        <v>-59.150000000000006</v>
      </c>
      <c r="X58" s="155">
        <f t="shared" si="27"/>
        <v>0.014166666666666572</v>
      </c>
      <c r="Y58" s="197">
        <f t="shared" si="15"/>
        <v>-0.49719692085696643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40</v>
      </c>
      <c r="G59" s="106">
        <v>39.22</v>
      </c>
      <c r="H59" s="102">
        <f t="shared" si="21"/>
        <v>-0.7800000000000011</v>
      </c>
      <c r="I59" s="213">
        <f t="shared" si="19"/>
        <v>0.9804999999999999</v>
      </c>
      <c r="J59" s="115">
        <f t="shared" si="23"/>
        <v>-76.28</v>
      </c>
      <c r="K59" s="155">
        <f t="shared" si="20"/>
        <v>0.3395670995670996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38.21</v>
      </c>
      <c r="T59" s="155">
        <f t="shared" si="26"/>
        <v>38.83168316831683</v>
      </c>
      <c r="U59" s="107">
        <f>F59-квітень!F59</f>
        <v>10</v>
      </c>
      <c r="V59" s="110">
        <f>G59-квітень!G59</f>
        <v>0</v>
      </c>
      <c r="W59" s="111">
        <f t="shared" si="22"/>
        <v>-10</v>
      </c>
      <c r="X59" s="155">
        <f t="shared" si="27"/>
        <v>0</v>
      </c>
      <c r="Y59" s="197">
        <f t="shared" si="15"/>
        <v>37.82118448065279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498</v>
      </c>
      <c r="G60" s="106">
        <v>383.46</v>
      </c>
      <c r="H60" s="102">
        <f t="shared" si="21"/>
        <v>-114.54000000000002</v>
      </c>
      <c r="I60" s="213">
        <f t="shared" si="19"/>
        <v>0.7699999999999999</v>
      </c>
      <c r="J60" s="115">
        <f t="shared" si="23"/>
        <v>-900.54</v>
      </c>
      <c r="K60" s="155">
        <f t="shared" si="20"/>
        <v>0.2986448598130841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-121.67000000000002</v>
      </c>
      <c r="T60" s="155">
        <f t="shared" si="26"/>
        <v>0.759131312731376</v>
      </c>
      <c r="U60" s="107">
        <f>F60-квітень!F60</f>
        <v>114</v>
      </c>
      <c r="V60" s="110">
        <f>G60-квітень!G60</f>
        <v>7.069999999999993</v>
      </c>
      <c r="W60" s="111">
        <f t="shared" si="22"/>
        <v>-106.93</v>
      </c>
      <c r="X60" s="155">
        <f t="shared" si="27"/>
        <v>0.06201754385964906</v>
      </c>
      <c r="Y60" s="197">
        <f t="shared" si="15"/>
        <v>-0.30630506810404545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1"/>
        <v>0</v>
      </c>
      <c r="I61" s="213" t="e">
        <f t="shared" si="19"/>
        <v>#DIV/0!</v>
      </c>
      <c r="J61" s="115">
        <f t="shared" si="23"/>
        <v>0</v>
      </c>
      <c r="K61" s="155" t="e">
        <f t="shared" si="20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9290</v>
      </c>
      <c r="G62" s="106">
        <v>8423.59</v>
      </c>
      <c r="H62" s="102">
        <f t="shared" si="21"/>
        <v>-866.4099999999999</v>
      </c>
      <c r="I62" s="213">
        <f t="shared" si="19"/>
        <v>0.9067373519913886</v>
      </c>
      <c r="J62" s="115">
        <f t="shared" si="23"/>
        <v>-12836.41</v>
      </c>
      <c r="K62" s="155">
        <f t="shared" si="20"/>
        <v>0.39621777986829726</v>
      </c>
      <c r="L62" s="115"/>
      <c r="M62" s="115"/>
      <c r="N62" s="115"/>
      <c r="O62" s="115">
        <v>20110.14</v>
      </c>
      <c r="P62" s="115">
        <f t="shared" si="24"/>
        <v>1149.8600000000006</v>
      </c>
      <c r="Q62" s="155">
        <f t="shared" si="25"/>
        <v>1.0571781200926498</v>
      </c>
      <c r="R62" s="115">
        <v>6250.27</v>
      </c>
      <c r="S62" s="115">
        <f t="shared" si="5"/>
        <v>2173.3199999999997</v>
      </c>
      <c r="T62" s="155">
        <f t="shared" si="26"/>
        <v>1.3477161786610818</v>
      </c>
      <c r="U62" s="107">
        <f>F62-квітень!F62</f>
        <v>1800</v>
      </c>
      <c r="V62" s="110">
        <f>G62-квітень!G62</f>
        <v>131.13000000000102</v>
      </c>
      <c r="W62" s="111">
        <f t="shared" si="22"/>
        <v>-1668.869999999999</v>
      </c>
      <c r="X62" s="155">
        <f t="shared" si="27"/>
        <v>0.07285000000000057</v>
      </c>
      <c r="Y62" s="197">
        <f t="shared" si="15"/>
        <v>0.29053805856843207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313</v>
      </c>
      <c r="G63" s="106">
        <v>277.42</v>
      </c>
      <c r="H63" s="102">
        <f t="shared" si="21"/>
        <v>-35.579999999999984</v>
      </c>
      <c r="I63" s="213">
        <f t="shared" si="19"/>
        <v>0.8863258785942493</v>
      </c>
      <c r="J63" s="115">
        <f t="shared" si="23"/>
        <v>-489.58</v>
      </c>
      <c r="K63" s="155">
        <f t="shared" si="20"/>
        <v>0.3616949152542373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61.07000000000002</v>
      </c>
      <c r="T63" s="155">
        <f t="shared" si="26"/>
        <v>1.2822740929050152</v>
      </c>
      <c r="U63" s="107">
        <f>F63-квітень!F63</f>
        <v>64</v>
      </c>
      <c r="V63" s="110">
        <f>G63-квітень!G63</f>
        <v>4.569999999999993</v>
      </c>
      <c r="W63" s="111">
        <f t="shared" si="22"/>
        <v>-59.43000000000001</v>
      </c>
      <c r="X63" s="155">
        <f t="shared" si="27"/>
        <v>0.0714062499999999</v>
      </c>
      <c r="Y63" s="197">
        <f t="shared" si="15"/>
        <v>0.20205326027586734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16</v>
      </c>
      <c r="G64" s="106">
        <v>13.06</v>
      </c>
      <c r="H64" s="102">
        <f t="shared" si="21"/>
        <v>-2.9399999999999995</v>
      </c>
      <c r="I64" s="213">
        <f t="shared" si="19"/>
        <v>0.81625</v>
      </c>
      <c r="J64" s="115">
        <f t="shared" si="23"/>
        <v>-30.939999999999998</v>
      </c>
      <c r="K64" s="155">
        <f t="shared" si="20"/>
        <v>0.2968181818181818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0.7400000000000002</v>
      </c>
      <c r="T64" s="155">
        <f t="shared" si="26"/>
        <v>1.0600649350649352</v>
      </c>
      <c r="U64" s="107">
        <f>F64-квітень!F64</f>
        <v>4</v>
      </c>
      <c r="V64" s="110">
        <f>G64-квітень!G64</f>
        <v>0</v>
      </c>
      <c r="W64" s="111">
        <f t="shared" si="22"/>
        <v>-4</v>
      </c>
      <c r="X64" s="155">
        <f t="shared" si="27"/>
        <v>0</v>
      </c>
      <c r="Y64" s="197">
        <f t="shared" si="15"/>
        <v>-0.0017111267111267203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2500</v>
      </c>
      <c r="G65" s="106">
        <v>2839.39</v>
      </c>
      <c r="H65" s="102">
        <f t="shared" si="21"/>
        <v>339.3899999999999</v>
      </c>
      <c r="I65" s="213">
        <f t="shared" si="19"/>
        <v>1.135756</v>
      </c>
      <c r="J65" s="115">
        <f t="shared" si="23"/>
        <v>-3160.61</v>
      </c>
      <c r="K65" s="155">
        <f t="shared" si="20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344.14</v>
      </c>
      <c r="G66" s="106">
        <v>235.75</v>
      </c>
      <c r="H66" s="102">
        <f t="shared" si="21"/>
        <v>-108.38999999999999</v>
      </c>
      <c r="I66" s="213">
        <f t="shared" si="19"/>
        <v>0.685040971697565</v>
      </c>
      <c r="J66" s="115">
        <f t="shared" si="23"/>
        <v>-630.25</v>
      </c>
      <c r="K66" s="155">
        <f t="shared" si="20"/>
        <v>0.2722286374133949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-97.76999999999998</v>
      </c>
      <c r="T66" s="155">
        <f t="shared" si="26"/>
        <v>0.7068541616694651</v>
      </c>
      <c r="U66" s="107">
        <f>F66-квітень!F66</f>
        <v>74.5</v>
      </c>
      <c r="V66" s="110">
        <f>G66-квітень!G66</f>
        <v>3.5</v>
      </c>
      <c r="W66" s="111">
        <f t="shared" si="22"/>
        <v>-71</v>
      </c>
      <c r="X66" s="155">
        <f t="shared" si="27"/>
        <v>0.04697986577181208</v>
      </c>
      <c r="Y66" s="197">
        <f t="shared" si="15"/>
        <v>-0.2594264390758876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286.42</v>
      </c>
      <c r="G67" s="94">
        <v>186.87</v>
      </c>
      <c r="H67" s="71">
        <f t="shared" si="21"/>
        <v>-99.55000000000001</v>
      </c>
      <c r="I67" s="209">
        <f t="shared" si="19"/>
        <v>0.6524334892814747</v>
      </c>
      <c r="J67" s="72">
        <f t="shared" si="23"/>
        <v>-541.33</v>
      </c>
      <c r="K67" s="75">
        <f t="shared" si="20"/>
        <v>0.25661906069761053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-103.50999999999999</v>
      </c>
      <c r="T67" s="204">
        <f t="shared" si="26"/>
        <v>0.6435360562022178</v>
      </c>
      <c r="U67" s="73">
        <f>F67-квітень!F67</f>
        <v>63.00000000000003</v>
      </c>
      <c r="V67" s="98">
        <f>G67-квітень!G67</f>
        <v>2.3600000000000136</v>
      </c>
      <c r="W67" s="74">
        <f t="shared" si="22"/>
        <v>-60.640000000000015</v>
      </c>
      <c r="X67" s="75">
        <f t="shared" si="27"/>
        <v>0.03746031746031766</v>
      </c>
      <c r="Y67" s="197">
        <f t="shared" si="15"/>
        <v>-0.3138408205562162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0.3</v>
      </c>
      <c r="G68" s="94">
        <v>0.08</v>
      </c>
      <c r="H68" s="71">
        <f t="shared" si="21"/>
        <v>-0.21999999999999997</v>
      </c>
      <c r="I68" s="209">
        <f t="shared" si="19"/>
        <v>0.26666666666666666</v>
      </c>
      <c r="J68" s="72">
        <f t="shared" si="23"/>
        <v>-0.92</v>
      </c>
      <c r="K68" s="75">
        <f t="shared" si="20"/>
        <v>0.08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-0.06999999999999999</v>
      </c>
      <c r="T68" s="204">
        <f t="shared" si="26"/>
        <v>0.5333333333333333</v>
      </c>
      <c r="U68" s="73">
        <f>F68-квітень!F68</f>
        <v>0.09999999999999998</v>
      </c>
      <c r="V68" s="98">
        <f>G68-квітень!G68</f>
        <v>0.020000000000000004</v>
      </c>
      <c r="W68" s="74">
        <f t="shared" si="22"/>
        <v>-0.07999999999999997</v>
      </c>
      <c r="X68" s="75"/>
      <c r="Y68" s="197">
        <f t="shared" si="15"/>
        <v>-5.022222222222222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1"/>
        <v>0</v>
      </c>
      <c r="I69" s="209" t="e">
        <f t="shared" si="19"/>
        <v>#DIV/0!</v>
      </c>
      <c r="J69" s="72">
        <f t="shared" si="23"/>
        <v>0</v>
      </c>
      <c r="K69" s="75" t="e">
        <f t="shared" si="20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57.42</v>
      </c>
      <c r="G70" s="94">
        <v>48.8</v>
      </c>
      <c r="H70" s="71">
        <f t="shared" si="21"/>
        <v>-8.620000000000005</v>
      </c>
      <c r="I70" s="209">
        <f t="shared" si="19"/>
        <v>0.8498780912574015</v>
      </c>
      <c r="J70" s="72">
        <f t="shared" si="23"/>
        <v>-88.00000000000001</v>
      </c>
      <c r="K70" s="75">
        <f t="shared" si="20"/>
        <v>0.35672514619883033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5.799999999999997</v>
      </c>
      <c r="T70" s="204">
        <f t="shared" si="26"/>
        <v>1.1348837209302325</v>
      </c>
      <c r="U70" s="73">
        <f>F70-квітень!F70</f>
        <v>11.399999999999999</v>
      </c>
      <c r="V70" s="98">
        <f>G70-квітень!G70</f>
        <v>1.1099999999999994</v>
      </c>
      <c r="W70" s="74">
        <f t="shared" si="22"/>
        <v>-10.29</v>
      </c>
      <c r="X70" s="75">
        <f t="shared" si="27"/>
        <v>0.09736842105263153</v>
      </c>
      <c r="Y70" s="197">
        <f t="shared" si="15"/>
        <v>0.12469320254299254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1"/>
        <v>-1.5</v>
      </c>
      <c r="I71" s="213">
        <f t="shared" si="19"/>
        <v>0</v>
      </c>
      <c r="J71" s="115">
        <f t="shared" si="23"/>
        <v>-3</v>
      </c>
      <c r="K71" s="155">
        <f t="shared" si="20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3288.65</v>
      </c>
      <c r="G72" s="106">
        <v>2046.69</v>
      </c>
      <c r="H72" s="102">
        <f t="shared" si="21"/>
        <v>-1241.96</v>
      </c>
      <c r="I72" s="213">
        <f t="shared" si="19"/>
        <v>0.6223495963389233</v>
      </c>
      <c r="J72" s="115">
        <f t="shared" si="23"/>
        <v>-6123.3099999999995</v>
      </c>
      <c r="K72" s="155">
        <f t="shared" si="20"/>
        <v>0.2505128518971848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-1990.4499999999998</v>
      </c>
      <c r="T72" s="155">
        <f t="shared" si="26"/>
        <v>0.506965326939368</v>
      </c>
      <c r="U72" s="107">
        <f>F72-квітень!F72</f>
        <v>680</v>
      </c>
      <c r="V72" s="110">
        <f>G72-квітень!G72</f>
        <v>12.660000000000082</v>
      </c>
      <c r="W72" s="111">
        <f t="shared" si="22"/>
        <v>-667.3399999999999</v>
      </c>
      <c r="X72" s="155">
        <f t="shared" si="27"/>
        <v>0.01861764705882365</v>
      </c>
      <c r="Y72" s="197">
        <f t="shared" si="15"/>
        <v>-0.5033080527898738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1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1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1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15.37</v>
      </c>
      <c r="G77" s="106">
        <v>4.74</v>
      </c>
      <c r="H77" s="102">
        <f t="shared" si="21"/>
        <v>-10.629999999999999</v>
      </c>
      <c r="I77" s="213">
        <f>G77/F77</f>
        <v>0.3083929733246585</v>
      </c>
      <c r="J77" s="115">
        <f t="shared" si="23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22.35</v>
      </c>
      <c r="S77" s="115">
        <f t="shared" si="5"/>
        <v>-17.61</v>
      </c>
      <c r="T77" s="155">
        <f t="shared" si="26"/>
        <v>0.21208053691275167</v>
      </c>
      <c r="U77" s="107">
        <f>F77-квітень!F77</f>
        <v>2.8999999999999986</v>
      </c>
      <c r="V77" s="110">
        <f>G77-квітень!G77</f>
        <v>0</v>
      </c>
      <c r="W77" s="111">
        <f t="shared" si="22"/>
        <v>-2.8999999999999986</v>
      </c>
      <c r="X77" s="155">
        <f t="shared" si="27"/>
        <v>0</v>
      </c>
      <c r="Y77" s="197">
        <f t="shared" si="15"/>
        <v>-0.8107131509890602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1"/>
        <v>0.5</v>
      </c>
      <c r="I78" s="213" t="e">
        <f>G78/F78</f>
        <v>#DIV/0!</v>
      </c>
      <c r="J78" s="115">
        <f t="shared" si="23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6"/>
        <v>-0.09523809523809523</v>
      </c>
      <c r="U78" s="107">
        <f>F78-квітень!F78</f>
        <v>0</v>
      </c>
      <c r="V78" s="110">
        <f>G78-квітень!G78</f>
        <v>0</v>
      </c>
      <c r="W78" s="111">
        <f t="shared" si="22"/>
        <v>0</v>
      </c>
      <c r="X78" s="155"/>
      <c r="Y78" s="197">
        <f t="shared" si="15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619358.02</v>
      </c>
      <c r="G79" s="103">
        <f>G8+G53+G77+G78</f>
        <v>520470.22000000003</v>
      </c>
      <c r="H79" s="103">
        <f>G79-F79</f>
        <v>-98887.79999999999</v>
      </c>
      <c r="I79" s="210">
        <f>G79/F79</f>
        <v>0.8403382263460478</v>
      </c>
      <c r="J79" s="104">
        <f>G79-E79</f>
        <v>-1107447.48</v>
      </c>
      <c r="K79" s="156">
        <f>G79/E79</f>
        <v>0.31971531484669036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532468.19</v>
      </c>
      <c r="S79" s="104">
        <f>G79-R79</f>
        <v>-11997.969999999914</v>
      </c>
      <c r="T79" s="156">
        <f>G79/R79</f>
        <v>0.9774672548983632</v>
      </c>
      <c r="U79" s="103">
        <f>U8+U53+U77+U78</f>
        <v>130131.65999999996</v>
      </c>
      <c r="V79" s="103">
        <f>V8+V53+V77+V78</f>
        <v>5626.80999999999</v>
      </c>
      <c r="W79" s="135">
        <f>V79-U79</f>
        <v>-124504.84999999998</v>
      </c>
      <c r="X79" s="156">
        <f>V79/U79</f>
        <v>0.043239362350407214</v>
      </c>
      <c r="Y79" s="197">
        <f t="shared" si="15"/>
        <v>-0.18616521061909785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5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5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5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F84-квітень!F84</f>
        <v>0</v>
      </c>
      <c r="V84" s="110">
        <f>G84-квітень!G84</f>
        <v>0</v>
      </c>
      <c r="W84" s="117"/>
      <c r="X84" s="147"/>
      <c r="Y84" s="197" t="e">
        <f t="shared" si="15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F85-квітень!F85</f>
        <v>0</v>
      </c>
      <c r="V85" s="110">
        <f>G85-квітень!G85</f>
        <v>0</v>
      </c>
      <c r="W85" s="117">
        <f>V85-U85</f>
        <v>0</v>
      </c>
      <c r="X85" s="147"/>
      <c r="Y85" s="197" t="e">
        <f t="shared" si="15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8" ref="S86:S98">G86-R86</f>
        <v>0.01</v>
      </c>
      <c r="T86" s="151" t="e">
        <f aca="true" t="shared" si="29" ref="T86:T101">G86/R86</f>
        <v>#DIV/0!</v>
      </c>
      <c r="U86" s="129">
        <f>F86-квітень!F86</f>
        <v>0</v>
      </c>
      <c r="V86" s="174">
        <f>G86-квітень!G86</f>
        <v>0</v>
      </c>
      <c r="W86" s="131">
        <f>V86-U86</f>
        <v>0</v>
      </c>
      <c r="X86" s="151"/>
      <c r="Y86" s="197" t="e">
        <f t="shared" si="15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0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1" ref="P87:P98">E87-O87</f>
        <v>-35.57</v>
      </c>
      <c r="Q87" s="151">
        <f aca="true" t="shared" si="32" ref="Q87:Q98">E87/O87</f>
        <v>0</v>
      </c>
      <c r="R87" s="131">
        <v>35.57</v>
      </c>
      <c r="S87" s="131">
        <f t="shared" si="28"/>
        <v>-26.14</v>
      </c>
      <c r="T87" s="147"/>
      <c r="U87" s="129">
        <f>F87-квітень!F87</f>
        <v>0</v>
      </c>
      <c r="V87" s="174">
        <f>G87-квітень!G87</f>
        <v>0</v>
      </c>
      <c r="W87" s="131">
        <f aca="true" t="shared" si="33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1000.03</v>
      </c>
      <c r="G88" s="126">
        <v>1570.86</v>
      </c>
      <c r="H88" s="112">
        <f t="shared" si="30"/>
        <v>570.8299999999999</v>
      </c>
      <c r="I88" s="213">
        <f>G88/F88</f>
        <v>1.5708128756137316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1"/>
        <v>7379.899</v>
      </c>
      <c r="Q88" s="147">
        <f t="shared" si="32"/>
        <v>8.866522054277613</v>
      </c>
      <c r="R88" s="117">
        <v>0.13</v>
      </c>
      <c r="S88" s="117">
        <f t="shared" si="28"/>
        <v>1570.7299999999998</v>
      </c>
      <c r="T88" s="147">
        <f t="shared" si="29"/>
        <v>12083.538461538461</v>
      </c>
      <c r="U88" s="112">
        <f>F88-квітень!F88</f>
        <v>193.601</v>
      </c>
      <c r="V88" s="118">
        <f>G88-квітень!G88</f>
        <v>0</v>
      </c>
      <c r="W88" s="117">
        <f t="shared" si="33"/>
        <v>-193.601</v>
      </c>
      <c r="X88" s="147">
        <f>V88/U88</f>
        <v>0</v>
      </c>
      <c r="Y88" s="197">
        <f t="shared" si="15"/>
        <v>12074.671939484184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4015</v>
      </c>
      <c r="G89" s="126">
        <v>1461.36</v>
      </c>
      <c r="H89" s="112">
        <f t="shared" si="30"/>
        <v>-2553.6400000000003</v>
      </c>
      <c r="I89" s="213">
        <f>G89/F89</f>
        <v>0.3639750933997509</v>
      </c>
      <c r="J89" s="117">
        <f aca="true" t="shared" si="34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1"/>
        <v>8305.35</v>
      </c>
      <c r="Q89" s="147">
        <f t="shared" si="32"/>
        <v>2.0198559613932328</v>
      </c>
      <c r="R89" s="117">
        <v>304.9</v>
      </c>
      <c r="S89" s="117">
        <f t="shared" si="28"/>
        <v>1156.46</v>
      </c>
      <c r="T89" s="147">
        <f t="shared" si="29"/>
        <v>4.7929157100688755</v>
      </c>
      <c r="U89" s="112">
        <f>F89-квітень!F89</f>
        <v>1000</v>
      </c>
      <c r="V89" s="118">
        <f>G89-квітень!G89</f>
        <v>0</v>
      </c>
      <c r="W89" s="117">
        <f t="shared" si="33"/>
        <v>-1000</v>
      </c>
      <c r="X89" s="147">
        <f>V89/U89</f>
        <v>0</v>
      </c>
      <c r="Y89" s="197">
        <f t="shared" si="15"/>
        <v>2.7730597486756428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10000</v>
      </c>
      <c r="G90" s="126">
        <v>1758.37</v>
      </c>
      <c r="H90" s="112">
        <f t="shared" si="30"/>
        <v>-8241.630000000001</v>
      </c>
      <c r="I90" s="213">
        <f>G90/F90</f>
        <v>0.175837</v>
      </c>
      <c r="J90" s="117">
        <f t="shared" si="34"/>
        <v>-20256.63</v>
      </c>
      <c r="K90" s="147">
        <f>G90/E90</f>
        <v>0.07987145128321599</v>
      </c>
      <c r="L90" s="117"/>
      <c r="M90" s="117"/>
      <c r="N90" s="117"/>
      <c r="O90" s="117">
        <v>17305.88</v>
      </c>
      <c r="P90" s="117">
        <f t="shared" si="31"/>
        <v>4709.119999999999</v>
      </c>
      <c r="Q90" s="147">
        <f t="shared" si="32"/>
        <v>1.2721109819321526</v>
      </c>
      <c r="R90" s="117">
        <v>4585.42</v>
      </c>
      <c r="S90" s="117">
        <f t="shared" si="28"/>
        <v>-2827.05</v>
      </c>
      <c r="T90" s="147">
        <f t="shared" si="29"/>
        <v>0.3834697803036581</v>
      </c>
      <c r="U90" s="112">
        <f>F90-квітень!F90</f>
        <v>2000</v>
      </c>
      <c r="V90" s="118">
        <f>G90-квітень!G90</f>
        <v>10</v>
      </c>
      <c r="W90" s="117">
        <f t="shared" si="33"/>
        <v>-1990</v>
      </c>
      <c r="X90" s="147">
        <f>V90/U90</f>
        <v>0.005</v>
      </c>
      <c r="Y90" s="197">
        <f t="shared" si="15"/>
        <v>-0.8886412016284945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10</v>
      </c>
      <c r="G91" s="126">
        <v>4</v>
      </c>
      <c r="H91" s="112">
        <f t="shared" si="30"/>
        <v>-6</v>
      </c>
      <c r="I91" s="213">
        <f>G91/F91</f>
        <v>0.4</v>
      </c>
      <c r="J91" s="117">
        <f t="shared" si="34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1"/>
        <v>4</v>
      </c>
      <c r="Q91" s="147">
        <f t="shared" si="32"/>
        <v>1.2</v>
      </c>
      <c r="R91" s="117">
        <v>6</v>
      </c>
      <c r="S91" s="117">
        <f t="shared" si="28"/>
        <v>-2</v>
      </c>
      <c r="T91" s="147">
        <f t="shared" si="29"/>
        <v>0.6666666666666666</v>
      </c>
      <c r="U91" s="112">
        <f>F91-квітень!F91</f>
        <v>2</v>
      </c>
      <c r="V91" s="118">
        <f>G91-квітень!G91</f>
        <v>0</v>
      </c>
      <c r="W91" s="117">
        <f t="shared" si="33"/>
        <v>-2</v>
      </c>
      <c r="X91" s="147">
        <f>V91/U91</f>
        <v>0</v>
      </c>
      <c r="Y91" s="197">
        <f t="shared" si="15"/>
        <v>-0.5333333333333333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15025.029999999999</v>
      </c>
      <c r="G92" s="128">
        <f>G88+G89+G90+G91</f>
        <v>4794.59</v>
      </c>
      <c r="H92" s="129">
        <f t="shared" si="30"/>
        <v>-10230.439999999999</v>
      </c>
      <c r="I92" s="216">
        <f>G92/F92</f>
        <v>0.3191068503690176</v>
      </c>
      <c r="J92" s="131">
        <f t="shared" si="34"/>
        <v>-42011.44900000001</v>
      </c>
      <c r="K92" s="151">
        <f>G92/E92</f>
        <v>0.10243528618176811</v>
      </c>
      <c r="L92" s="131"/>
      <c r="M92" s="131"/>
      <c r="N92" s="131"/>
      <c r="O92" s="131">
        <v>26407.66</v>
      </c>
      <c r="P92" s="131">
        <f t="shared" si="31"/>
        <v>20398.379000000004</v>
      </c>
      <c r="Q92" s="151">
        <f t="shared" si="32"/>
        <v>1.772441746069133</v>
      </c>
      <c r="R92" s="131">
        <v>4896.44</v>
      </c>
      <c r="S92" s="117">
        <f t="shared" si="28"/>
        <v>-101.84999999999945</v>
      </c>
      <c r="T92" s="147">
        <f t="shared" si="29"/>
        <v>0.9791991732769115</v>
      </c>
      <c r="U92" s="129">
        <f>F92-квітень!F92</f>
        <v>3195.6009999999987</v>
      </c>
      <c r="V92" s="174">
        <f>G92-квітень!G92</f>
        <v>10</v>
      </c>
      <c r="W92" s="131">
        <f t="shared" si="33"/>
        <v>-3185.6009999999987</v>
      </c>
      <c r="X92" s="151">
        <f>V92/U92</f>
        <v>0.0031293018120848014</v>
      </c>
      <c r="Y92" s="197">
        <f t="shared" si="15"/>
        <v>-0.7932425727922215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15</v>
      </c>
      <c r="G93" s="126">
        <v>1.3</v>
      </c>
      <c r="H93" s="112">
        <f t="shared" si="30"/>
        <v>-13.7</v>
      </c>
      <c r="I93" s="213"/>
      <c r="J93" s="117">
        <f t="shared" si="34"/>
        <v>-41.7</v>
      </c>
      <c r="K93" s="147"/>
      <c r="L93" s="117"/>
      <c r="M93" s="117"/>
      <c r="N93" s="117"/>
      <c r="O93" s="117">
        <v>49.17</v>
      </c>
      <c r="P93" s="117">
        <f t="shared" si="31"/>
        <v>-6.170000000000002</v>
      </c>
      <c r="Q93" s="147">
        <f t="shared" si="32"/>
        <v>0.8745169818995322</v>
      </c>
      <c r="R93" s="117">
        <v>34.1</v>
      </c>
      <c r="S93" s="117">
        <f t="shared" si="28"/>
        <v>-32.800000000000004</v>
      </c>
      <c r="T93" s="147">
        <f t="shared" si="29"/>
        <v>0.03812316715542522</v>
      </c>
      <c r="U93" s="112">
        <f>F93-квітень!F93</f>
        <v>4</v>
      </c>
      <c r="V93" s="118">
        <f>G93-квітень!G93</f>
        <v>0</v>
      </c>
      <c r="W93" s="117">
        <f t="shared" si="33"/>
        <v>-4</v>
      </c>
      <c r="X93" s="147"/>
      <c r="Y93" s="197">
        <f t="shared" si="15"/>
        <v>-0.836393814744107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0"/>
        <v>0</v>
      </c>
      <c r="I94" s="213"/>
      <c r="J94" s="117">
        <f t="shared" si="34"/>
        <v>0</v>
      </c>
      <c r="K94" s="224"/>
      <c r="L94" s="134"/>
      <c r="M94" s="134"/>
      <c r="N94" s="134"/>
      <c r="O94" s="134"/>
      <c r="P94" s="117">
        <f t="shared" si="31"/>
        <v>0</v>
      </c>
      <c r="Q94" s="147" t="e">
        <f t="shared" si="32"/>
        <v>#DIV/0!</v>
      </c>
      <c r="R94" s="117">
        <f>O94</f>
        <v>0</v>
      </c>
      <c r="S94" s="117">
        <f t="shared" si="28"/>
        <v>0</v>
      </c>
      <c r="T94" s="147" t="e">
        <f t="shared" si="29"/>
        <v>#DIV/0!</v>
      </c>
      <c r="U94" s="112">
        <f>F94-квітень!F94</f>
        <v>0</v>
      </c>
      <c r="V94" s="118">
        <f>G94-квітень!G94</f>
        <v>0</v>
      </c>
      <c r="W94" s="117">
        <f t="shared" si="33"/>
        <v>0</v>
      </c>
      <c r="X94" s="224"/>
      <c r="Y94" s="197" t="e">
        <f t="shared" si="15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5901.95</v>
      </c>
      <c r="G95" s="126">
        <v>2603.91</v>
      </c>
      <c r="H95" s="112">
        <f t="shared" si="30"/>
        <v>-3298.04</v>
      </c>
      <c r="I95" s="213">
        <f>G95/F95</f>
        <v>0.44119485932615493</v>
      </c>
      <c r="J95" s="117">
        <f t="shared" si="34"/>
        <v>-6446.09</v>
      </c>
      <c r="K95" s="147">
        <f>G95/E95</f>
        <v>0.28772486187845303</v>
      </c>
      <c r="L95" s="117"/>
      <c r="M95" s="117"/>
      <c r="N95" s="117"/>
      <c r="O95" s="117">
        <v>8033.94</v>
      </c>
      <c r="P95" s="117">
        <f t="shared" si="31"/>
        <v>1016.0600000000004</v>
      </c>
      <c r="Q95" s="147">
        <f t="shared" si="32"/>
        <v>1.1264709470073215</v>
      </c>
      <c r="R95" s="117">
        <v>5103.22</v>
      </c>
      <c r="S95" s="117">
        <f t="shared" si="28"/>
        <v>-2499.3100000000004</v>
      </c>
      <c r="T95" s="147">
        <f t="shared" si="29"/>
        <v>0.5102484313825388</v>
      </c>
      <c r="U95" s="112">
        <f>F95-квітень!F95</f>
        <v>3068.5</v>
      </c>
      <c r="V95" s="118">
        <f>G95-квітень!G95</f>
        <v>0.21000000000003638</v>
      </c>
      <c r="W95" s="117">
        <f t="shared" si="33"/>
        <v>-3068.29</v>
      </c>
      <c r="X95" s="147">
        <f>V95/U95</f>
        <v>6.843734723807606E-05</v>
      </c>
      <c r="Y95" s="197">
        <f t="shared" si="15"/>
        <v>-0.6162225156247827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0"/>
        <v>0</v>
      </c>
      <c r="I96" s="213"/>
      <c r="J96" s="117">
        <f t="shared" si="34"/>
        <v>0</v>
      </c>
      <c r="K96" s="147"/>
      <c r="L96" s="117"/>
      <c r="M96" s="117"/>
      <c r="N96" s="117"/>
      <c r="O96" s="117">
        <v>0.1</v>
      </c>
      <c r="P96" s="117">
        <f t="shared" si="31"/>
        <v>-0.1</v>
      </c>
      <c r="Q96" s="147">
        <f t="shared" si="32"/>
        <v>0</v>
      </c>
      <c r="R96" s="117">
        <v>0</v>
      </c>
      <c r="S96" s="117">
        <f t="shared" si="28"/>
        <v>0</v>
      </c>
      <c r="T96" s="147" t="e">
        <f t="shared" si="29"/>
        <v>#DIV/0!</v>
      </c>
      <c r="U96" s="112">
        <f>F96-січень!F96</f>
        <v>0</v>
      </c>
      <c r="V96" s="118">
        <f>G96-березень!G96</f>
        <v>0</v>
      </c>
      <c r="W96" s="117">
        <f t="shared" si="33"/>
        <v>0</v>
      </c>
      <c r="X96" s="224"/>
      <c r="Y96" s="197" t="e">
        <f t="shared" si="15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5916.95</v>
      </c>
      <c r="G97" s="128">
        <f>G93+G96+G94+G95</f>
        <v>2605.21</v>
      </c>
      <c r="H97" s="129">
        <f t="shared" si="30"/>
        <v>-3311.74</v>
      </c>
      <c r="I97" s="216">
        <f>G97/F97</f>
        <v>0.4402960984966917</v>
      </c>
      <c r="J97" s="131">
        <f t="shared" si="34"/>
        <v>-6487.79</v>
      </c>
      <c r="K97" s="151">
        <f>G97/E97</f>
        <v>0.28650720334323104</v>
      </c>
      <c r="L97" s="131"/>
      <c r="M97" s="131"/>
      <c r="N97" s="131"/>
      <c r="O97" s="131">
        <v>8083.21</v>
      </c>
      <c r="P97" s="131">
        <f t="shared" si="31"/>
        <v>1009.79</v>
      </c>
      <c r="Q97" s="151">
        <f t="shared" si="32"/>
        <v>1.1249243802895137</v>
      </c>
      <c r="R97" s="131">
        <v>5137.37</v>
      </c>
      <c r="S97" s="117">
        <f t="shared" si="28"/>
        <v>-2532.16</v>
      </c>
      <c r="T97" s="147">
        <f t="shared" si="29"/>
        <v>0.5071096689551269</v>
      </c>
      <c r="U97" s="129">
        <f>F97-квітень!F97</f>
        <v>3072.5</v>
      </c>
      <c r="V97" s="174">
        <f>G97-квітень!G97</f>
        <v>0.21000000000003638</v>
      </c>
      <c r="W97" s="131">
        <f t="shared" si="33"/>
        <v>-3072.29</v>
      </c>
      <c r="X97" s="151">
        <f>V97/U97</f>
        <v>6.834825061026408E-05</v>
      </c>
      <c r="Y97" s="197">
        <f t="shared" si="15"/>
        <v>-0.6178147113343868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15.75</v>
      </c>
      <c r="G98" s="126">
        <v>15.98</v>
      </c>
      <c r="H98" s="112">
        <f t="shared" si="30"/>
        <v>0.23000000000000043</v>
      </c>
      <c r="I98" s="213">
        <f>G98/F98</f>
        <v>1.0146031746031747</v>
      </c>
      <c r="J98" s="117">
        <f t="shared" si="34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1"/>
        <v>9.452999999999996</v>
      </c>
      <c r="Q98" s="147">
        <f t="shared" si="32"/>
        <v>1.2490252897787144</v>
      </c>
      <c r="R98" s="131">
        <v>7.74</v>
      </c>
      <c r="S98" s="117">
        <f t="shared" si="28"/>
        <v>8.24</v>
      </c>
      <c r="T98" s="147">
        <f t="shared" si="29"/>
        <v>2.0645994832041343</v>
      </c>
      <c r="U98" s="112">
        <f>F98-квітень!F98</f>
        <v>1.7599999999999998</v>
      </c>
      <c r="V98" s="118">
        <f>G98-квітень!G98</f>
        <v>0</v>
      </c>
      <c r="W98" s="117">
        <f t="shared" si="33"/>
        <v>-1.7599999999999998</v>
      </c>
      <c r="X98" s="147">
        <f>V98/U98</f>
        <v>0</v>
      </c>
      <c r="Y98" s="197">
        <f t="shared" si="15"/>
        <v>0.8155741934254199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2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5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20957.73</v>
      </c>
      <c r="G100" s="183">
        <f>G86+G87+G92+G97+G98</f>
        <v>7425.219999999999</v>
      </c>
      <c r="H100" s="184">
        <f>G100-F100</f>
        <v>-13532.51</v>
      </c>
      <c r="I100" s="217">
        <f>G100/F100</f>
        <v>0.3542950500841455</v>
      </c>
      <c r="J100" s="177">
        <f>G100-E100</f>
        <v>-48521.232</v>
      </c>
      <c r="K100" s="178">
        <f>G100/E100</f>
        <v>0.13272012316348494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10074.49</v>
      </c>
      <c r="S100" s="177">
        <f>G100-R100</f>
        <v>-2649.2700000000004</v>
      </c>
      <c r="T100" s="178">
        <f t="shared" si="29"/>
        <v>0.7370318497512033</v>
      </c>
      <c r="U100" s="183">
        <f>U86+U87+U92+U97+U98</f>
        <v>6269.860999999999</v>
      </c>
      <c r="V100" s="183">
        <f>V86+V87+V92+V97+V98</f>
        <v>10.210000000000036</v>
      </c>
      <c r="W100" s="177">
        <f>V100-U100</f>
        <v>-6259.650999999999</v>
      </c>
      <c r="X100" s="178">
        <f>V100/U100</f>
        <v>0.0016284252553605315</v>
      </c>
      <c r="Y100" s="197">
        <f>T100-Q100</f>
        <v>-0.8817061952042492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640315.75</v>
      </c>
      <c r="G101" s="183">
        <f>G79+G100</f>
        <v>527895.4400000001</v>
      </c>
      <c r="H101" s="184">
        <f>G101-F101</f>
        <v>-112420.30999999994</v>
      </c>
      <c r="I101" s="217">
        <f>G101/F101</f>
        <v>0.82442988478731</v>
      </c>
      <c r="J101" s="177">
        <f>G101-E101</f>
        <v>-1155968.7119999998</v>
      </c>
      <c r="K101" s="178">
        <f>G101/E101</f>
        <v>0.3135023923236297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542542.6799999999</v>
      </c>
      <c r="S101" s="177">
        <f>S79+S100</f>
        <v>-14647.239999999914</v>
      </c>
      <c r="T101" s="178">
        <f t="shared" si="29"/>
        <v>0.9730026032237687</v>
      </c>
      <c r="U101" s="184">
        <f>U79+U100</f>
        <v>136401.52099999995</v>
      </c>
      <c r="V101" s="184">
        <f>V79+V100</f>
        <v>5637.01999999999</v>
      </c>
      <c r="W101" s="177">
        <f>V101-U101</f>
        <v>-130764.50099999996</v>
      </c>
      <c r="X101" s="178">
        <f>V101/U101</f>
        <v>0.041326665264971585</v>
      </c>
      <c r="Y101" s="197">
        <f>T101-Q101</f>
        <v>-0.2016020391003871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20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4944.389999999999</v>
      </c>
      <c r="H104" s="262"/>
      <c r="I104" s="262"/>
      <c r="J104" s="262"/>
      <c r="V104" s="261">
        <f>IF(W79&lt;0,ABS(W79/C103),0)</f>
        <v>6225.2424999999985</v>
      </c>
    </row>
    <row r="105" spans="2:7" ht="30.75">
      <c r="B105" s="263" t="s">
        <v>146</v>
      </c>
      <c r="C105" s="264">
        <v>43222</v>
      </c>
      <c r="D105" s="261"/>
      <c r="E105" s="261">
        <v>5326.8</v>
      </c>
      <c r="F105" s="78"/>
      <c r="G105" s="4" t="s">
        <v>147</v>
      </c>
    </row>
    <row r="106" spans="3:10" ht="15">
      <c r="C106" s="264">
        <v>43217</v>
      </c>
      <c r="D106" s="261"/>
      <c r="E106" s="261">
        <v>15675.4</v>
      </c>
      <c r="F106" s="78"/>
      <c r="G106" s="279"/>
      <c r="H106" s="279"/>
      <c r="I106" s="265"/>
      <c r="J106" s="266"/>
    </row>
    <row r="107" spans="3:10" ht="15">
      <c r="C107" s="264">
        <v>43216</v>
      </c>
      <c r="D107" s="261"/>
      <c r="E107" s="261">
        <v>15747.1</v>
      </c>
      <c r="F107" s="78"/>
      <c r="G107" s="279"/>
      <c r="H107" s="279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81" t="s">
        <v>148</v>
      </c>
      <c r="C109" s="282"/>
      <c r="D109" s="270"/>
      <c r="E109" s="274">
        <v>29.375259999999997</v>
      </c>
      <c r="F109" s="272" t="s">
        <v>149</v>
      </c>
      <c r="G109" s="279"/>
      <c r="H109" s="279"/>
      <c r="I109" s="273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2" fitToWidth="1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zoomScale="72" zoomScaleNormal="72" zoomScalePageLayoutView="0" workbookViewId="0" topLeftCell="B1">
      <pane xSplit="3" ySplit="8" topLeftCell="E10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6" sqref="B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1" t="s">
        <v>172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162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168</v>
      </c>
      <c r="V3" s="312" t="s">
        <v>169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165</v>
      </c>
      <c r="G4" s="297" t="s">
        <v>31</v>
      </c>
      <c r="H4" s="285" t="s">
        <v>166</v>
      </c>
      <c r="I4" s="299" t="s">
        <v>167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173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170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277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277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277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277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277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277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277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277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277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277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278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277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277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43217</v>
      </c>
      <c r="D105" s="261"/>
      <c r="E105" s="261">
        <v>15675.4</v>
      </c>
      <c r="F105" s="78"/>
      <c r="G105" s="4" t="s">
        <v>147</v>
      </c>
    </row>
    <row r="106" spans="3:10" ht="15">
      <c r="C106" s="264">
        <v>43216</v>
      </c>
      <c r="D106" s="261"/>
      <c r="E106" s="261">
        <v>15747.1</v>
      </c>
      <c r="F106" s="78"/>
      <c r="G106" s="279"/>
      <c r="H106" s="279"/>
      <c r="I106" s="265"/>
      <c r="J106" s="266"/>
    </row>
    <row r="107" spans="3:10" ht="15">
      <c r="C107" s="264">
        <v>43215</v>
      </c>
      <c r="D107" s="261"/>
      <c r="E107" s="261">
        <v>7760.3</v>
      </c>
      <c r="F107" s="78"/>
      <c r="G107" s="279"/>
      <c r="H107" s="279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81" t="s">
        <v>148</v>
      </c>
      <c r="C109" s="282"/>
      <c r="D109" s="270"/>
      <c r="E109" s="274">
        <f>'[1]залишки'!$G$6/1000</f>
        <v>29.375259999999997</v>
      </c>
      <c r="F109" s="272" t="s">
        <v>149</v>
      </c>
      <c r="G109" s="279"/>
      <c r="H109" s="279"/>
      <c r="I109" s="273"/>
      <c r="J109" s="266"/>
    </row>
    <row r="110" spans="4:10" ht="15">
      <c r="D110" s="4"/>
      <c r="F110" s="268"/>
      <c r="G110" s="279"/>
      <c r="H110" s="279"/>
      <c r="I110" s="268"/>
      <c r="J110" s="271"/>
    </row>
  </sheetData>
  <sheetProtection/>
  <mergeCells count="28"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R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301" t="s">
        <v>163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162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160</v>
      </c>
      <c r="V3" s="312" t="s">
        <v>161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156</v>
      </c>
      <c r="G4" s="297" t="s">
        <v>31</v>
      </c>
      <c r="H4" s="285" t="s">
        <v>157</v>
      </c>
      <c r="I4" s="299" t="s">
        <v>158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164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159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277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277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277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277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277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277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277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277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277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277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278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277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277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171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 t="e">
        <f>IF(W79&lt;0,ABS(W79/C103),0)</f>
        <v>#VALUE!</v>
      </c>
    </row>
    <row r="105" spans="2:7" ht="30.75">
      <c r="B105" s="263" t="s">
        <v>146</v>
      </c>
      <c r="C105" s="264">
        <v>43189</v>
      </c>
      <c r="D105" s="261"/>
      <c r="E105" s="261">
        <v>10196.34</v>
      </c>
      <c r="F105" s="78"/>
      <c r="G105" s="4" t="s">
        <v>147</v>
      </c>
    </row>
    <row r="106" spans="3:10" ht="15">
      <c r="C106" s="264">
        <v>43188</v>
      </c>
      <c r="D106" s="261"/>
      <c r="E106" s="261">
        <v>14970</v>
      </c>
      <c r="F106" s="78"/>
      <c r="G106" s="279"/>
      <c r="H106" s="279"/>
      <c r="I106" s="265"/>
      <c r="J106" s="266"/>
    </row>
    <row r="107" spans="3:10" ht="15">
      <c r="C107" s="264">
        <v>43187</v>
      </c>
      <c r="D107" s="261"/>
      <c r="E107" s="261">
        <v>5510.6</v>
      </c>
      <c r="F107" s="78"/>
      <c r="G107" s="279"/>
      <c r="H107" s="279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81" t="s">
        <v>148</v>
      </c>
      <c r="C109" s="282"/>
      <c r="D109" s="270"/>
      <c r="E109" s="274">
        <f>'[1]залишки'!$G$6/1000</f>
        <v>29.375259999999997</v>
      </c>
      <c r="F109" s="272" t="s">
        <v>149</v>
      </c>
      <c r="G109" s="279"/>
      <c r="H109" s="279"/>
      <c r="I109" s="273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1" fitToWidth="1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301" t="s">
        <v>154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131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141</v>
      </c>
      <c r="V3" s="312" t="s">
        <v>136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139</v>
      </c>
      <c r="G4" s="297" t="s">
        <v>31</v>
      </c>
      <c r="H4" s="285" t="s">
        <v>129</v>
      </c>
      <c r="I4" s="299" t="s">
        <v>130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155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152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9"/>
      <c r="H106" s="279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9"/>
      <c r="H107" s="279"/>
      <c r="I107" s="265"/>
      <c r="J107" s="267"/>
    </row>
    <row r="108" spans="3:10" ht="15" hidden="1">
      <c r="C108" s="264"/>
      <c r="D108" s="4"/>
      <c r="F108" s="268"/>
      <c r="G108" s="280"/>
      <c r="H108" s="280"/>
      <c r="I108" s="269"/>
      <c r="J108" s="266"/>
    </row>
    <row r="109" spans="2:10" ht="16.5" hidden="1">
      <c r="B109" s="281" t="s">
        <v>148</v>
      </c>
      <c r="C109" s="282"/>
      <c r="D109" s="270"/>
      <c r="E109" s="274">
        <v>144.8304</v>
      </c>
      <c r="F109" s="272" t="s">
        <v>149</v>
      </c>
      <c r="G109" s="279"/>
      <c r="H109" s="279"/>
      <c r="I109" s="273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01" t="s">
        <v>128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16" t="s">
        <v>131</v>
      </c>
      <c r="E3" s="307" t="s">
        <v>131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140</v>
      </c>
      <c r="V3" s="312" t="s">
        <v>124</v>
      </c>
      <c r="W3" s="312"/>
      <c r="X3" s="312"/>
      <c r="Y3" s="194"/>
    </row>
    <row r="4" spans="1:24" ht="22.5" customHeight="1">
      <c r="A4" s="303"/>
      <c r="B4" s="305"/>
      <c r="C4" s="306"/>
      <c r="D4" s="317"/>
      <c r="E4" s="307"/>
      <c r="F4" s="295" t="s">
        <v>138</v>
      </c>
      <c r="G4" s="297" t="s">
        <v>31</v>
      </c>
      <c r="H4" s="285" t="s">
        <v>122</v>
      </c>
      <c r="I4" s="299" t="s">
        <v>123</v>
      </c>
      <c r="J4" s="285" t="s">
        <v>132</v>
      </c>
      <c r="K4" s="29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137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18"/>
      <c r="E5" s="307"/>
      <c r="F5" s="296"/>
      <c r="G5" s="298"/>
      <c r="H5" s="286"/>
      <c r="I5" s="300"/>
      <c r="J5" s="286"/>
      <c r="K5" s="300"/>
      <c r="L5" s="288" t="s">
        <v>109</v>
      </c>
      <c r="M5" s="289"/>
      <c r="N5" s="290"/>
      <c r="O5" s="313" t="s">
        <v>125</v>
      </c>
      <c r="P5" s="314"/>
      <c r="Q5" s="315"/>
      <c r="R5" s="294" t="s">
        <v>127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9"/>
      <c r="H106" s="279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9"/>
      <c r="H107" s="279"/>
      <c r="I107" s="265"/>
      <c r="J107" s="267"/>
      <c r="Y107" s="199"/>
    </row>
    <row r="108" spans="3:25" ht="15">
      <c r="C108" s="264"/>
      <c r="D108" s="4"/>
      <c r="F108" s="268"/>
      <c r="G108" s="280"/>
      <c r="H108" s="280"/>
      <c r="I108" s="269"/>
      <c r="J108" s="266"/>
      <c r="Y108" s="199"/>
    </row>
    <row r="109" spans="2:25" ht="16.5">
      <c r="B109" s="281" t="s">
        <v>148</v>
      </c>
      <c r="C109" s="281"/>
      <c r="D109" s="270"/>
      <c r="E109" s="270">
        <f>3396166.95/1000</f>
        <v>3396.1669500000003</v>
      </c>
      <c r="F109" s="272" t="s">
        <v>149</v>
      </c>
      <c r="G109" s="279"/>
      <c r="H109" s="279"/>
      <c r="I109" s="273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2018-05-03T12:39:10Z</cp:lastPrinted>
  <dcterms:created xsi:type="dcterms:W3CDTF">2003-07-28T11:27:56Z</dcterms:created>
  <dcterms:modified xsi:type="dcterms:W3CDTF">2018-05-03T13:48:46Z</dcterms:modified>
  <cp:category/>
  <cp:version/>
  <cp:contentType/>
  <cp:contentStatus/>
</cp:coreProperties>
</file>